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36" windowWidth="16260" windowHeight="5832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19" i="1"/>
  <c r="L47"/>
  <c r="K47"/>
  <c r="L44"/>
  <c r="K44"/>
  <c r="K31"/>
  <c r="K34"/>
  <c r="L34"/>
  <c r="L31"/>
  <c r="L20"/>
  <c r="L14"/>
  <c r="K13"/>
  <c r="I47"/>
  <c r="I44"/>
  <c r="I34"/>
  <c r="I31"/>
  <c r="I12"/>
  <c r="I13" s="1"/>
  <c r="E33" i="2"/>
  <c r="E34"/>
  <c r="F34" s="1"/>
  <c r="G34" s="1"/>
  <c r="E32"/>
  <c r="C32"/>
  <c r="C58" i="3"/>
  <c r="C63" s="1"/>
  <c r="C28"/>
  <c r="C29" s="1"/>
  <c r="D67"/>
  <c r="D63"/>
  <c r="E68"/>
  <c r="F68" s="1"/>
  <c r="E64"/>
  <c r="F64" s="1"/>
  <c r="E60"/>
  <c r="F60" s="1"/>
  <c r="D58"/>
  <c r="D59" s="1"/>
  <c r="C52"/>
  <c r="C48"/>
  <c r="C44"/>
  <c r="E53"/>
  <c r="F53" s="1"/>
  <c r="E49"/>
  <c r="F49" s="1"/>
  <c r="E45"/>
  <c r="F45" s="1"/>
  <c r="D43"/>
  <c r="D48" s="1"/>
  <c r="C22"/>
  <c r="C18"/>
  <c r="E38"/>
  <c r="F38" s="1"/>
  <c r="E34"/>
  <c r="F34" s="1"/>
  <c r="E30"/>
  <c r="F30" s="1"/>
  <c r="D28"/>
  <c r="D29" s="1"/>
  <c r="E23"/>
  <c r="F23" s="1"/>
  <c r="E19"/>
  <c r="F19" s="1"/>
  <c r="C15"/>
  <c r="E15" s="1"/>
  <c r="F15" s="1"/>
  <c r="C14"/>
  <c r="D13"/>
  <c r="D14" s="1"/>
  <c r="E30" i="2"/>
  <c r="F30" s="1"/>
  <c r="G30" s="1"/>
  <c r="E29"/>
  <c r="F29" s="1"/>
  <c r="G29" s="1"/>
  <c r="I29"/>
  <c r="I28"/>
  <c r="C28"/>
  <c r="I30"/>
  <c r="I34"/>
  <c r="I26"/>
  <c r="F26"/>
  <c r="G26" s="1"/>
  <c r="I22"/>
  <c r="F22"/>
  <c r="G22" s="1"/>
  <c r="I21"/>
  <c r="I24"/>
  <c r="I25"/>
  <c r="I32"/>
  <c r="I33"/>
  <c r="I20"/>
  <c r="E24"/>
  <c r="D24" s="1"/>
  <c r="E20"/>
  <c r="D20" s="1"/>
  <c r="F21"/>
  <c r="G21" s="1"/>
  <c r="C24"/>
  <c r="F25"/>
  <c r="G25" s="1"/>
  <c r="C20"/>
  <c r="I19" i="1" l="1"/>
  <c r="C67" i="3"/>
  <c r="E67" s="1"/>
  <c r="D52"/>
  <c r="E52" s="1"/>
  <c r="D44"/>
  <c r="E44" s="1"/>
  <c r="C59"/>
  <c r="E59" s="1"/>
  <c r="C37"/>
  <c r="C33"/>
  <c r="E63"/>
  <c r="D18"/>
  <c r="E18" s="1"/>
  <c r="E48"/>
  <c r="D37"/>
  <c r="D33"/>
  <c r="D22"/>
  <c r="E22" s="1"/>
  <c r="E29"/>
  <c r="E14"/>
  <c r="F28" i="2"/>
  <c r="G28" s="1"/>
  <c r="F20"/>
  <c r="G20" s="1"/>
  <c r="H20" i="1"/>
  <c r="L21" s="1"/>
  <c r="L15"/>
  <c r="H47"/>
  <c r="H44"/>
  <c r="H34"/>
  <c r="H31"/>
  <c r="H19"/>
  <c r="L19" s="1"/>
  <c r="H13"/>
  <c r="L13" s="1"/>
  <c r="E37" i="3" l="1"/>
  <c r="E33"/>
  <c r="F32" i="2"/>
  <c r="G32" s="1"/>
  <c r="F33"/>
  <c r="G33" s="1"/>
  <c r="F24"/>
  <c r="G24" s="1"/>
</calcChain>
</file>

<file path=xl/sharedStrings.xml><?xml version="1.0" encoding="utf-8"?>
<sst xmlns="http://schemas.openxmlformats.org/spreadsheetml/2006/main" count="305" uniqueCount="195">
  <si>
    <t>Vodka</t>
  </si>
  <si>
    <t>Gin</t>
  </si>
  <si>
    <t>Rum</t>
  </si>
  <si>
    <t xml:space="preserve">Tequila </t>
  </si>
  <si>
    <t>Whiskey</t>
  </si>
  <si>
    <t>Bourbon</t>
  </si>
  <si>
    <t>Wine</t>
  </si>
  <si>
    <t>Beer</t>
  </si>
  <si>
    <t xml:space="preserve"> </t>
  </si>
  <si>
    <t>Smirnoff</t>
  </si>
  <si>
    <t>Svedka</t>
  </si>
  <si>
    <t>Skyy</t>
  </si>
  <si>
    <t>Choose from:</t>
  </si>
  <si>
    <t>Stolichaya</t>
  </si>
  <si>
    <t>Tito's</t>
  </si>
  <si>
    <t>Ketel One</t>
  </si>
  <si>
    <t>Grey Goose</t>
  </si>
  <si>
    <t>Belevedere</t>
  </si>
  <si>
    <t>Gibleys</t>
  </si>
  <si>
    <t>Gordons</t>
  </si>
  <si>
    <t>Bacardi Superior</t>
  </si>
  <si>
    <t>Bacardi Gold</t>
  </si>
  <si>
    <t>Cruzan Aged Dark</t>
  </si>
  <si>
    <t>Canadian Club</t>
  </si>
  <si>
    <t>Seagrams VO</t>
  </si>
  <si>
    <t>Evan Williams</t>
  </si>
  <si>
    <t>Jim Beam</t>
  </si>
  <si>
    <t>Firebrand Cabernet</t>
  </si>
  <si>
    <t>Budweiser</t>
  </si>
  <si>
    <t>Bud Light</t>
  </si>
  <si>
    <t>Approx</t>
  </si>
  <si>
    <t>Price per bottle</t>
  </si>
  <si>
    <t>Beefeaters</t>
  </si>
  <si>
    <t>Captain Morgan Spiced</t>
  </si>
  <si>
    <t>Malibu Coconut</t>
  </si>
  <si>
    <t>1800 Silver</t>
  </si>
  <si>
    <t>Jack Daniels</t>
  </si>
  <si>
    <t>Jameson Irish</t>
  </si>
  <si>
    <t>Makers Mark</t>
  </si>
  <si>
    <t>Rodney Strong Cabernet</t>
  </si>
  <si>
    <t>3hrs.</t>
  </si>
  <si>
    <t>Modelo Especial</t>
  </si>
  <si>
    <t>Heineken</t>
  </si>
  <si>
    <t>1 - 1.75ml</t>
  </si>
  <si>
    <t>4hrs.</t>
  </si>
  <si>
    <t>Choose From:</t>
  </si>
  <si>
    <t>Bombay Sapphire</t>
  </si>
  <si>
    <t>Tangueray</t>
  </si>
  <si>
    <t>Mount Gay</t>
  </si>
  <si>
    <t>Goslings Black</t>
  </si>
  <si>
    <t>Patron Silver</t>
  </si>
  <si>
    <t>Casamigos Blanco</t>
  </si>
  <si>
    <t>1 - 750ml</t>
  </si>
  <si>
    <t>Woodford Reserve</t>
  </si>
  <si>
    <t>Bulleit Bourbon</t>
  </si>
  <si>
    <t>Stags Leap Merlot</t>
  </si>
  <si>
    <t>Corona Light</t>
  </si>
  <si>
    <t>100 guests</t>
  </si>
  <si>
    <t>100 guest</t>
  </si>
  <si>
    <t>40 - 750ml</t>
  </si>
  <si>
    <t>50 - 750ml</t>
  </si>
  <si>
    <t>Yuengling Lager</t>
  </si>
  <si>
    <t>Chateau Ste. Michelle Chard.</t>
  </si>
  <si>
    <t>Bread and Butter Chard.</t>
  </si>
  <si>
    <t>Duckhorn Chard.</t>
  </si>
  <si>
    <t>Michelob Ultra</t>
  </si>
  <si>
    <t>Stella Artois</t>
  </si>
  <si>
    <t>2 - 1.75ml</t>
  </si>
  <si>
    <t>250 - 12oz.</t>
  </si>
  <si>
    <t>Alcohol calculator with approx. picing &amp; Qtys.</t>
  </si>
  <si>
    <t>*add 9% for SC alcohol tax</t>
  </si>
  <si>
    <t>*2% SC Hospitality tax is included in Charleston Cheers Bar Trailer Packages</t>
  </si>
  <si>
    <t>*Does not include Charleston Cheers Horse Trailer Bar</t>
  </si>
  <si>
    <t>Espolon Blanco</t>
  </si>
  <si>
    <t>Absolute</t>
  </si>
  <si>
    <t>Bombay Dry</t>
  </si>
  <si>
    <t>Bay Street Gold</t>
  </si>
  <si>
    <t>Total drinks</t>
  </si>
  <si>
    <t>Truly Hard Seltzer</t>
  </si>
  <si>
    <t>Total cost</t>
  </si>
  <si>
    <t>* These are for example only. Your actual alcohol cost may be higher or lower based upon your selections</t>
  </si>
  <si>
    <t>Natural Light</t>
  </si>
  <si>
    <t xml:space="preserve">           “      1.5L</t>
  </si>
  <si>
    <t xml:space="preserve">       Wine - 750ml                    = 5 glasses</t>
  </si>
  <si>
    <t>Ordering Guidelines</t>
  </si>
  <si>
    <t>Number of guests</t>
  </si>
  <si>
    <t xml:space="preserve">  # of hours</t>
  </si>
  <si>
    <t>* Better to have too much than too little!</t>
  </si>
  <si>
    <t>Total #</t>
  </si>
  <si>
    <t>of drinks</t>
  </si>
  <si>
    <t># of drinks</t>
  </si>
  <si>
    <t>glasses of wine</t>
  </si>
  <si>
    <t xml:space="preserve"># of 5oz </t>
  </si>
  <si>
    <t>750ml</t>
  </si>
  <si>
    <t xml:space="preserve">      Wine bottles</t>
  </si>
  <si>
    <t># of 12oz. Beer</t>
  </si>
  <si>
    <t xml:space="preserve"> glasses/cans</t>
  </si>
  <si>
    <t># of 12oz</t>
  </si>
  <si>
    <t>Beers</t>
  </si>
  <si>
    <t>from 1/6 kegs</t>
  </si>
  <si>
    <t xml:space="preserve">If additional </t>
  </si>
  <si>
    <t xml:space="preserve">* Note: unopened beer and wine is available to be returned for full refund   </t>
  </si>
  <si>
    <r>
      <t xml:space="preserve">   however</t>
    </r>
    <r>
      <rPr>
        <b/>
        <u/>
        <sz val="11"/>
        <color theme="1"/>
        <rFont val="Calibri"/>
        <family val="2"/>
        <scheme val="minor"/>
      </rPr>
      <t xml:space="preserve"> cases</t>
    </r>
    <r>
      <rPr>
        <b/>
        <sz val="11"/>
        <color theme="1"/>
        <rFont val="Calibri"/>
        <family val="2"/>
        <scheme val="minor"/>
      </rPr>
      <t xml:space="preserve"> of beer need to be unopened and complete!</t>
    </r>
  </si>
  <si>
    <t>* It is less expensive to purchase 1.5L bottles of wine vs. 750ml bottles! In most cases if a 1.5L</t>
  </si>
  <si>
    <t xml:space="preserve">   of wine of your choice is available, will cut your number of bottles required in half, reducing cost! </t>
  </si>
  <si>
    <t xml:space="preserve">    = 10 glasses </t>
  </si>
  <si>
    <t>Drinks</t>
  </si>
  <si>
    <t>per guest</t>
  </si>
  <si>
    <t>50 guests</t>
  </si>
  <si>
    <t># of hours</t>
  </si>
  <si>
    <t>avg. Price per bottle</t>
  </si>
  <si>
    <t>Beer /wine suggestions</t>
  </si>
  <si>
    <t>Beer and Wine only estimated cost /quantity calcultions</t>
  </si>
  <si>
    <t>170- 12oz beers</t>
  </si>
  <si>
    <t>5hrs.</t>
  </si>
  <si>
    <t>190- 12oz beers</t>
  </si>
  <si>
    <t>Cost</t>
  </si>
  <si>
    <t>25 bottles of 750ml wine</t>
  </si>
  <si>
    <t>150 - 12oz beers</t>
  </si>
  <si>
    <t>Total</t>
  </si>
  <si>
    <t>300 - 12oz beers</t>
  </si>
  <si>
    <t>50 bottles of 750ml wine</t>
  </si>
  <si>
    <t>70 bottles of wine 750 ml</t>
  </si>
  <si>
    <t>370- 12oz beers</t>
  </si>
  <si>
    <t xml:space="preserve">29 bottles of 750ml wine </t>
  </si>
  <si>
    <t xml:space="preserve">60 bottles of 750ml wine </t>
  </si>
  <si>
    <t>34 bottles of wine 750 ml</t>
  </si>
  <si>
    <t>340- 12oz beers</t>
  </si>
  <si>
    <t>100 Guests</t>
  </si>
  <si>
    <t>125 Guests</t>
  </si>
  <si>
    <t>125 guests</t>
  </si>
  <si>
    <t>60 bottles of 750ml wine</t>
  </si>
  <si>
    <t>375 - 12oz beers</t>
  </si>
  <si>
    <t>440- 12oz beers</t>
  </si>
  <si>
    <t xml:space="preserve">72 bottles of 750ml wine </t>
  </si>
  <si>
    <t>84 bottles of wine 750 ml</t>
  </si>
  <si>
    <t>490- 12oz beers</t>
  </si>
  <si>
    <t>150 Guests</t>
  </si>
  <si>
    <t>150 guests</t>
  </si>
  <si>
    <t>75 bottles of 750ml wine</t>
  </si>
  <si>
    <t>450 - 12oz beers</t>
  </si>
  <si>
    <t>510- 12oz beers</t>
  </si>
  <si>
    <t>570- 12oz beers</t>
  </si>
  <si>
    <t xml:space="preserve">90 bottles of 750ml wine </t>
  </si>
  <si>
    <t>105 bottles of wine 750 ml</t>
  </si>
  <si>
    <t xml:space="preserve"> 12oz.</t>
  </si>
  <si>
    <t>Per case</t>
  </si>
  <si>
    <t xml:space="preserve"> 750ml</t>
  </si>
  <si>
    <t>*These are for example only. Your actual alcohol cost may be higher or lower based upon your selections and desired qty. of your selections</t>
  </si>
  <si>
    <t>*Signature drinks if desired will vary based upon clients request</t>
  </si>
  <si>
    <t>Basic pkg. suggestions</t>
  </si>
  <si>
    <t>Cost per bottle</t>
  </si>
  <si>
    <t xml:space="preserve"> 55 - 12oz glasses</t>
  </si>
  <si>
    <t>Michelob Amber Bock</t>
  </si>
  <si>
    <t>Cavit Pino Grigio</t>
  </si>
  <si>
    <t>1/6 keg</t>
  </si>
  <si>
    <t># of</t>
  </si>
  <si>
    <t>1/6 Kegs</t>
  </si>
  <si>
    <t>beer needed</t>
  </si>
  <si>
    <t xml:space="preserve">       Beer – 1/6 keg barrel holds 55, 12oz. glasses</t>
  </si>
  <si>
    <t xml:space="preserve"> cases of</t>
  </si>
  <si>
    <r>
      <t xml:space="preserve">Suggested Wine and Beer </t>
    </r>
    <r>
      <rPr>
        <b/>
        <u/>
        <sz val="12"/>
        <color theme="1"/>
        <rFont val="Calibri"/>
        <family val="2"/>
        <scheme val="minor"/>
      </rPr>
      <t>guidelines</t>
    </r>
    <r>
      <rPr>
        <b/>
        <sz val="12"/>
        <color theme="1"/>
        <rFont val="Calibri"/>
        <family val="2"/>
        <scheme val="minor"/>
      </rPr>
      <t xml:space="preserve"> below with </t>
    </r>
    <r>
      <rPr>
        <b/>
        <u/>
        <sz val="12"/>
        <color theme="1"/>
        <rFont val="Calibri"/>
        <family val="2"/>
        <scheme val="minor"/>
      </rPr>
      <t>estimated qty.</t>
    </r>
    <r>
      <rPr>
        <b/>
        <sz val="12"/>
        <color theme="1"/>
        <rFont val="Calibri"/>
        <family val="2"/>
        <scheme val="minor"/>
      </rPr>
      <t xml:space="preserve"> calculations.</t>
    </r>
  </si>
  <si>
    <t>Each client group costs will vary based their alcohol preferences of wine qty. vs. beer.</t>
  </si>
  <si>
    <t>* 1/6 kegs range from approx. $50-120!</t>
  </si>
  <si>
    <t>*1/6 kegs range in cost from approx. $45-120</t>
  </si>
  <si>
    <t xml:space="preserve"> drinks per person</t>
  </si>
  <si>
    <t xml:space="preserve">Charleston Cheers    </t>
  </si>
  <si>
    <t>*There are 25oz in a 750ml bottle of wine; 5oz pour = 5 glasses per bottle</t>
  </si>
  <si>
    <t>5oz pours</t>
  </si>
  <si>
    <t>5 oz pours</t>
  </si>
  <si>
    <t>Totals</t>
  </si>
  <si>
    <t>200 - 12oz.</t>
  </si>
  <si>
    <t>250 - 12oz</t>
  </si>
  <si>
    <t>.</t>
  </si>
  <si>
    <t>Bronze Pony Up Pkg.</t>
  </si>
  <si>
    <t>Silver Pony Up Pkg.</t>
  </si>
  <si>
    <t>Gold Pony Up Pkg.</t>
  </si>
  <si>
    <t>*There are 30, 2oz shots in a 1.75L of liquor = 30 mixed drinks</t>
  </si>
  <si>
    <t>Cost per 24 case</t>
  </si>
  <si>
    <t>22 Bottles</t>
  </si>
  <si>
    <t>4 oz Prosecco</t>
  </si>
  <si>
    <t>4 oz pour Prosecco</t>
  </si>
  <si>
    <t>4oz pour Processco</t>
  </si>
  <si>
    <t>750ml Mionetto IL</t>
  </si>
  <si>
    <t>750ml Cup Cake</t>
  </si>
  <si>
    <t>750ml LaMarca</t>
  </si>
  <si>
    <t>*There are 15,  2oz shots in a 750L of liquor = 15 mixed drinks</t>
  </si>
  <si>
    <t>17 bottles</t>
  </si>
  <si>
    <t>22 bottles</t>
  </si>
  <si>
    <t>17 Bottles</t>
  </si>
  <si>
    <t>* Prices subject to change</t>
  </si>
  <si>
    <t>Pony Up (Full Bar) Package options:</t>
  </si>
  <si>
    <t>Dark Horse Pinot Noir</t>
  </si>
  <si>
    <t>Robert Mondavi Chardonnay</t>
  </si>
  <si>
    <t>* Cases of wine/prosecco (12) get an additional 10% off of prices listed above</t>
  </si>
</sst>
</file>

<file path=xl/styles.xml><?xml version="1.0" encoding="utf-8"?>
<styleSheet xmlns="http://schemas.openxmlformats.org/spreadsheetml/2006/main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2" fontId="2" fillId="0" borderId="0" xfId="0" applyNumberFormat="1" applyFont="1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2" fontId="4" fillId="0" borderId="0" xfId="1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/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/>
    <xf numFmtId="2" fontId="4" fillId="0" borderId="0" xfId="0" applyNumberFormat="1" applyFont="1" applyBorder="1" applyAlignment="1">
      <alignment horizontal="center"/>
    </xf>
    <xf numFmtId="0" fontId="0" fillId="0" borderId="0" xfId="0" applyBorder="1"/>
    <xf numFmtId="2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8" fontId="0" fillId="0" borderId="0" xfId="0" applyNumberFormat="1" applyAlignment="1">
      <alignment horizontal="center"/>
    </xf>
    <xf numFmtId="0" fontId="3" fillId="0" borderId="1" xfId="0" applyFont="1" applyFill="1" applyBorder="1"/>
    <xf numFmtId="8" fontId="4" fillId="0" borderId="0" xfId="0" applyNumberFormat="1" applyFont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left" indent="5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2" fontId="2" fillId="0" borderId="0" xfId="0" applyNumberFormat="1" applyFont="1" applyAlignment="1">
      <alignment horizontal="left" indent="5"/>
    </xf>
    <xf numFmtId="165" fontId="2" fillId="0" borderId="0" xfId="0" applyNumberFormat="1" applyFont="1" applyAlignment="1">
      <alignment horizontal="left" indent="5"/>
    </xf>
    <xf numFmtId="0" fontId="9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14" fontId="0" fillId="0" borderId="0" xfId="0" applyNumberFormat="1"/>
    <xf numFmtId="0" fontId="8" fillId="0" borderId="0" xfId="0" applyFont="1" applyFill="1" applyBorder="1" applyAlignment="1">
      <alignment horizontal="center"/>
    </xf>
    <xf numFmtId="14" fontId="0" fillId="0" borderId="0" xfId="0" applyNumberFormat="1" applyAlignment="1">
      <alignment horizontal="left"/>
    </xf>
    <xf numFmtId="1" fontId="0" fillId="0" borderId="0" xfId="0" applyNumberFormat="1" applyFont="1" applyAlignment="1">
      <alignment horizontal="center"/>
    </xf>
    <xf numFmtId="0" fontId="3" fillId="0" borderId="1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4" fontId="3" fillId="0" borderId="0" xfId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3" fillId="0" borderId="2" xfId="0" applyFont="1" applyBorder="1"/>
    <xf numFmtId="0" fontId="0" fillId="0" borderId="2" xfId="0" applyBorder="1"/>
    <xf numFmtId="0" fontId="4" fillId="0" borderId="2" xfId="0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9" fillId="0" borderId="0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2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1" xfId="0" applyFont="1" applyBorder="1"/>
    <xf numFmtId="0" fontId="11" fillId="0" borderId="0" xfId="0" applyFont="1" applyBorder="1"/>
    <xf numFmtId="0" fontId="13" fillId="0" borderId="1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4" fillId="0" borderId="0" xfId="0" applyNumberFormat="1" applyFont="1" applyBorder="1" applyAlignment="1">
      <alignment horizontal="center"/>
    </xf>
    <xf numFmtId="164" fontId="15" fillId="0" borderId="0" xfId="0" applyNumberFormat="1" applyFont="1" applyBorder="1" applyAlignment="1">
      <alignment horizontal="center"/>
    </xf>
    <xf numFmtId="0" fontId="15" fillId="0" borderId="1" xfId="0" applyNumberFormat="1" applyFont="1" applyBorder="1" applyAlignment="1">
      <alignment horizontal="center"/>
    </xf>
    <xf numFmtId="44" fontId="14" fillId="0" borderId="0" xfId="1" applyFont="1" applyBorder="1" applyAlignment="1">
      <alignment horizontal="center"/>
    </xf>
    <xf numFmtId="0" fontId="14" fillId="0" borderId="0" xfId="0" applyFont="1" applyBorder="1"/>
    <xf numFmtId="0" fontId="14" fillId="0" borderId="1" xfId="0" applyFont="1" applyBorder="1"/>
    <xf numFmtId="0" fontId="16" fillId="0" borderId="1" xfId="0" applyFont="1" applyBorder="1"/>
    <xf numFmtId="2" fontId="15" fillId="0" borderId="0" xfId="0" applyNumberFormat="1" applyFont="1" applyBorder="1" applyAlignment="1">
      <alignment horizontal="center"/>
    </xf>
    <xf numFmtId="0" fontId="12" fillId="0" borderId="0" xfId="0" applyFont="1"/>
    <xf numFmtId="0" fontId="14" fillId="0" borderId="2" xfId="0" applyFont="1" applyBorder="1"/>
    <xf numFmtId="0" fontId="16" fillId="0" borderId="2" xfId="0" applyFont="1" applyBorder="1"/>
    <xf numFmtId="0" fontId="15" fillId="0" borderId="2" xfId="0" applyFont="1" applyBorder="1" applyAlignment="1">
      <alignment horizontal="center"/>
    </xf>
    <xf numFmtId="0" fontId="15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7" fillId="0" borderId="0" xfId="0" applyFont="1" applyBorder="1"/>
    <xf numFmtId="0" fontId="14" fillId="0" borderId="0" xfId="0" applyFont="1" applyAlignment="1">
      <alignment horizontal="center"/>
    </xf>
    <xf numFmtId="0" fontId="16" fillId="0" borderId="0" xfId="0" applyFont="1"/>
    <xf numFmtId="0" fontId="13" fillId="0" borderId="0" xfId="0" applyFont="1" applyBorder="1" applyAlignment="1">
      <alignment horizontal="center"/>
    </xf>
    <xf numFmtId="165" fontId="13" fillId="0" borderId="1" xfId="0" applyNumberFormat="1" applyFont="1" applyBorder="1" applyAlignment="1">
      <alignment horizontal="center"/>
    </xf>
    <xf numFmtId="0" fontId="13" fillId="0" borderId="0" xfId="0" applyFont="1" applyBorder="1"/>
    <xf numFmtId="43" fontId="14" fillId="0" borderId="0" xfId="2" applyFont="1" applyAlignment="1">
      <alignment horizontal="center"/>
    </xf>
    <xf numFmtId="2" fontId="15" fillId="0" borderId="0" xfId="1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/>
    <xf numFmtId="2" fontId="13" fillId="0" borderId="1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1" xfId="0" applyFont="1" applyBorder="1"/>
    <xf numFmtId="165" fontId="3" fillId="0" borderId="0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18" fillId="0" borderId="0" xfId="0" applyFont="1"/>
    <xf numFmtId="164" fontId="3" fillId="0" borderId="0" xfId="0" applyNumberFormat="1" applyFont="1" applyAlignment="1">
      <alignment horizontal="center"/>
    </xf>
    <xf numFmtId="0" fontId="7" fillId="0" borderId="0" xfId="0" applyFont="1" applyFill="1" applyBorder="1"/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7" fillId="0" borderId="0" xfId="0" applyFont="1" applyBorder="1"/>
    <xf numFmtId="0" fontId="3" fillId="0" borderId="0" xfId="0" applyFont="1" applyBorder="1" applyAlignment="1">
      <alignment horizontal="right"/>
    </xf>
    <xf numFmtId="2" fontId="3" fillId="0" borderId="0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53340</xdr:rowOff>
    </xdr:from>
    <xdr:to>
      <xdr:col>1</xdr:col>
      <xdr:colOff>495301</xdr:colOff>
      <xdr:row>7</xdr:row>
      <xdr:rowOff>160020</xdr:rowOff>
    </xdr:to>
    <xdr:pic>
      <xdr:nvPicPr>
        <xdr:cNvPr id="2" name="Picture 1" descr="CHARLESTON CHEERS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1" y="53340"/>
          <a:ext cx="1851660" cy="1386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"/>
  <sheetViews>
    <sheetView tabSelected="1" workbookViewId="0">
      <selection activeCell="F3" sqref="F3"/>
    </sheetView>
  </sheetViews>
  <sheetFormatPr defaultRowHeight="14.4"/>
  <cols>
    <col min="1" max="1" width="13.5546875" customWidth="1"/>
    <col min="2" max="2" width="10" customWidth="1"/>
    <col min="3" max="3" width="13.6640625" customWidth="1"/>
    <col min="4" max="4" width="19.44140625" customWidth="1"/>
    <col min="5" max="5" width="14.5546875" customWidth="1"/>
    <col min="6" max="6" width="13.6640625" customWidth="1"/>
    <col min="7" max="7" width="15" customWidth="1"/>
    <col min="8" max="8" width="23" customWidth="1"/>
    <col min="9" max="11" width="16.21875" customWidth="1"/>
    <col min="12" max="12" width="10.6640625" customWidth="1"/>
    <col min="13" max="13" width="14.33203125" customWidth="1"/>
  </cols>
  <sheetData>
    <row r="1" spans="1:14" ht="15.6">
      <c r="A1" s="105" t="s">
        <v>166</v>
      </c>
      <c r="C1" s="46"/>
    </row>
    <row r="2" spans="1:14">
      <c r="A2" s="43" t="s">
        <v>69</v>
      </c>
    </row>
    <row r="3" spans="1:14" ht="15.6">
      <c r="A3" s="32" t="s">
        <v>191</v>
      </c>
    </row>
    <row r="4" spans="1:14">
      <c r="A4" s="1"/>
    </row>
    <row r="5" spans="1:14" ht="15.6">
      <c r="A5" s="32" t="s">
        <v>174</v>
      </c>
      <c r="B5" s="21"/>
      <c r="C5" s="21"/>
      <c r="D5" s="21"/>
      <c r="E5" s="21"/>
      <c r="F5" s="21"/>
      <c r="G5" s="21"/>
      <c r="I5" s="21"/>
      <c r="J5" s="21"/>
      <c r="K5" s="52"/>
      <c r="L5" s="21"/>
      <c r="M5" s="21"/>
      <c r="N5" s="21"/>
    </row>
    <row r="6" spans="1:14">
      <c r="A6" s="6" t="s">
        <v>12</v>
      </c>
      <c r="B6" s="8" t="s">
        <v>67</v>
      </c>
      <c r="C6" s="8" t="s">
        <v>43</v>
      </c>
      <c r="D6" s="8" t="s">
        <v>43</v>
      </c>
      <c r="E6" s="8" t="s">
        <v>52</v>
      </c>
      <c r="F6" s="8" t="s">
        <v>43</v>
      </c>
      <c r="G6" s="8" t="s">
        <v>43</v>
      </c>
      <c r="H6" s="8" t="s">
        <v>59</v>
      </c>
      <c r="I6" s="8" t="s">
        <v>171</v>
      </c>
      <c r="J6" s="8"/>
      <c r="K6" s="8" t="s">
        <v>180</v>
      </c>
      <c r="L6" s="8" t="s">
        <v>30</v>
      </c>
      <c r="M6" s="2"/>
      <c r="N6" s="3"/>
    </row>
    <row r="7" spans="1:14">
      <c r="A7" s="9" t="s">
        <v>58</v>
      </c>
      <c r="B7" s="8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  <c r="I7" s="8" t="s">
        <v>7</v>
      </c>
      <c r="J7" s="8" t="s">
        <v>178</v>
      </c>
      <c r="K7" s="8" t="s">
        <v>184</v>
      </c>
      <c r="L7" s="8" t="s">
        <v>170</v>
      </c>
      <c r="M7" s="2"/>
      <c r="N7" s="3"/>
    </row>
    <row r="8" spans="1:14">
      <c r="B8" s="7" t="s">
        <v>9</v>
      </c>
      <c r="C8" s="7" t="s">
        <v>18</v>
      </c>
      <c r="D8" s="7" t="s">
        <v>20</v>
      </c>
      <c r="E8" s="7" t="s">
        <v>73</v>
      </c>
      <c r="F8" s="7" t="s">
        <v>23</v>
      </c>
      <c r="G8" s="7" t="s">
        <v>25</v>
      </c>
      <c r="H8" s="7" t="s">
        <v>192</v>
      </c>
      <c r="I8" s="7" t="s">
        <v>28</v>
      </c>
      <c r="J8" s="7">
        <v>19.989999999999998</v>
      </c>
      <c r="K8" s="7">
        <v>8.99</v>
      </c>
      <c r="M8" s="3"/>
      <c r="N8" s="3"/>
    </row>
    <row r="9" spans="1:14" ht="15.6">
      <c r="A9" s="32" t="s">
        <v>40</v>
      </c>
      <c r="B9" s="7" t="s">
        <v>10</v>
      </c>
      <c r="C9" s="7" t="s">
        <v>19</v>
      </c>
      <c r="D9" s="7" t="s">
        <v>21</v>
      </c>
      <c r="E9" s="7"/>
      <c r="F9" s="7" t="s">
        <v>24</v>
      </c>
      <c r="G9" s="7" t="s">
        <v>26</v>
      </c>
      <c r="H9" s="7" t="s">
        <v>193</v>
      </c>
      <c r="I9" s="7" t="s">
        <v>29</v>
      </c>
      <c r="J9" s="7">
        <v>18.989999999999998</v>
      </c>
      <c r="K9" s="7"/>
      <c r="M9" s="3"/>
      <c r="N9" s="3"/>
    </row>
    <row r="10" spans="1:14">
      <c r="A10" s="10"/>
      <c r="B10" s="7" t="s">
        <v>11</v>
      </c>
      <c r="C10" s="7"/>
      <c r="D10" s="7" t="s">
        <v>22</v>
      </c>
      <c r="E10" s="7"/>
      <c r="F10" s="7"/>
      <c r="G10" s="7"/>
      <c r="H10" s="7">
        <v>6.97</v>
      </c>
      <c r="I10" s="7" t="s">
        <v>61</v>
      </c>
      <c r="J10" s="7">
        <v>18.989999999999998</v>
      </c>
      <c r="K10" s="7"/>
      <c r="M10" s="3"/>
      <c r="N10" s="3"/>
    </row>
    <row r="11" spans="1:14">
      <c r="A11" s="10"/>
      <c r="B11" s="7"/>
      <c r="C11" s="7"/>
      <c r="D11" s="7" t="s">
        <v>76</v>
      </c>
      <c r="E11" s="7"/>
      <c r="F11" s="7"/>
      <c r="G11" s="7"/>
      <c r="H11" s="7">
        <v>4.97</v>
      </c>
      <c r="I11" s="7" t="s">
        <v>81</v>
      </c>
      <c r="J11" s="7">
        <v>16.989999999999998</v>
      </c>
      <c r="K11" s="7"/>
      <c r="M11" s="3"/>
      <c r="N11" s="3"/>
    </row>
    <row r="12" spans="1:14">
      <c r="A12" s="6" t="s">
        <v>31</v>
      </c>
      <c r="B12" s="7">
        <v>16.989999999999998</v>
      </c>
      <c r="C12" s="7">
        <v>14.99</v>
      </c>
      <c r="D12" s="7">
        <v>12.99</v>
      </c>
      <c r="E12" s="7">
        <v>22.99</v>
      </c>
      <c r="F12" s="7">
        <v>15.99</v>
      </c>
      <c r="G12" s="7">
        <v>18.989999999999998</v>
      </c>
      <c r="H12" s="11">
        <v>5.97</v>
      </c>
      <c r="I12" s="17">
        <f>SUM(74.96/96)</f>
        <v>0.78083333333333327</v>
      </c>
      <c r="J12" s="17"/>
      <c r="K12" s="106" t="s">
        <v>189</v>
      </c>
      <c r="L12" s="7"/>
      <c r="M12" s="3"/>
      <c r="N12" s="3"/>
    </row>
    <row r="13" spans="1:14">
      <c r="A13" s="13" t="s">
        <v>79</v>
      </c>
      <c r="B13" s="14">
        <v>33.979999999999997</v>
      </c>
      <c r="C13" s="14">
        <v>14.99</v>
      </c>
      <c r="D13" s="14">
        <v>25.98</v>
      </c>
      <c r="E13" s="14">
        <v>22.99</v>
      </c>
      <c r="F13" s="14">
        <v>15.99</v>
      </c>
      <c r="G13" s="14">
        <v>18.989999999999998</v>
      </c>
      <c r="H13" s="23">
        <f>SUM(40*H12)</f>
        <v>238.79999999999998</v>
      </c>
      <c r="I13" s="18">
        <f>SUM(I12*I14)</f>
        <v>156.16666666666666</v>
      </c>
      <c r="J13" s="18"/>
      <c r="K13" s="18">
        <f>SUM(K8*17)</f>
        <v>152.83000000000001</v>
      </c>
      <c r="L13" s="54">
        <f>SUM(B13:K13)</f>
        <v>680.7166666666667</v>
      </c>
      <c r="M13" s="3"/>
      <c r="N13" s="3"/>
    </row>
    <row r="14" spans="1:14">
      <c r="A14" s="13" t="s">
        <v>77</v>
      </c>
      <c r="B14" s="15">
        <v>60</v>
      </c>
      <c r="C14" s="15">
        <v>30</v>
      </c>
      <c r="D14" s="15">
        <v>30</v>
      </c>
      <c r="E14" s="15">
        <v>30</v>
      </c>
      <c r="F14" s="15">
        <v>30</v>
      </c>
      <c r="G14" s="15">
        <v>30</v>
      </c>
      <c r="H14" s="15">
        <v>220</v>
      </c>
      <c r="I14" s="27">
        <v>200</v>
      </c>
      <c r="J14" s="27"/>
      <c r="K14" s="27">
        <v>100</v>
      </c>
      <c r="L14" s="27">
        <f>SUM(B14:K14)</f>
        <v>730</v>
      </c>
      <c r="M14" s="3"/>
      <c r="N14" s="3"/>
    </row>
    <row r="15" spans="1:14">
      <c r="A15" s="13"/>
      <c r="B15" s="15"/>
      <c r="C15" s="15"/>
      <c r="D15" s="15"/>
      <c r="E15" s="15"/>
      <c r="F15" s="15"/>
      <c r="G15" s="15"/>
      <c r="H15" s="52" t="s">
        <v>169</v>
      </c>
      <c r="I15" s="109" t="s">
        <v>165</v>
      </c>
      <c r="J15" s="109"/>
      <c r="K15" s="109"/>
      <c r="L15" s="103">
        <f>SUM(L14/100)</f>
        <v>7.3</v>
      </c>
      <c r="N15" s="3"/>
    </row>
    <row r="16" spans="1:14">
      <c r="A16" s="13"/>
      <c r="B16" s="15"/>
      <c r="C16" s="15"/>
      <c r="D16" s="15"/>
      <c r="E16" s="15"/>
      <c r="F16" s="15"/>
      <c r="G16" s="15"/>
      <c r="H16" s="15"/>
      <c r="I16" s="8"/>
      <c r="J16" s="8"/>
      <c r="K16" s="8"/>
      <c r="L16" s="103"/>
      <c r="N16" s="3"/>
    </row>
    <row r="17" spans="1:14">
      <c r="B17" s="14"/>
      <c r="C17" s="14"/>
      <c r="D17" s="14"/>
      <c r="E17" s="14"/>
      <c r="F17" s="14"/>
      <c r="G17" s="14"/>
      <c r="L17" s="15"/>
      <c r="M17" s="3"/>
      <c r="N17" s="3"/>
    </row>
    <row r="18" spans="1:14" ht="15.6">
      <c r="A18" s="107" t="s">
        <v>44</v>
      </c>
      <c r="B18" s="14">
        <v>33.979999999999997</v>
      </c>
      <c r="C18" s="14">
        <v>14.99</v>
      </c>
      <c r="D18" s="14">
        <v>25.98</v>
      </c>
      <c r="E18" s="14">
        <v>22.99</v>
      </c>
      <c r="F18" s="14">
        <v>15.99</v>
      </c>
      <c r="G18" s="14">
        <v>18.989999999999998</v>
      </c>
      <c r="H18" s="15" t="s">
        <v>60</v>
      </c>
      <c r="I18" s="15" t="s">
        <v>172</v>
      </c>
      <c r="J18" s="15"/>
      <c r="K18" s="15" t="s">
        <v>179</v>
      </c>
      <c r="L18" s="15"/>
      <c r="M18" s="3"/>
      <c r="N18" s="3"/>
    </row>
    <row r="19" spans="1:14">
      <c r="A19" s="51" t="s">
        <v>79</v>
      </c>
      <c r="B19" s="14">
        <v>33.979999999999997</v>
      </c>
      <c r="C19" s="14">
        <v>14.99</v>
      </c>
      <c r="D19" s="14">
        <v>25.98</v>
      </c>
      <c r="E19" s="14">
        <v>22.99</v>
      </c>
      <c r="F19" s="14">
        <v>15.99</v>
      </c>
      <c r="G19" s="14">
        <v>18.989999999999998</v>
      </c>
      <c r="H19" s="25">
        <f>SUM(50*H12)</f>
        <v>298.5</v>
      </c>
      <c r="I19" s="26">
        <f>SUM(I12*250)</f>
        <v>195.20833333333331</v>
      </c>
      <c r="J19" s="26"/>
      <c r="K19" s="116">
        <f>SUM(8*22)</f>
        <v>176</v>
      </c>
      <c r="L19" s="54">
        <f>SUM(B19:K19)</f>
        <v>802.62833333333333</v>
      </c>
      <c r="M19" s="5"/>
      <c r="N19" s="3"/>
    </row>
    <row r="20" spans="1:14">
      <c r="A20" s="16" t="s">
        <v>77</v>
      </c>
      <c r="B20" s="15">
        <v>60</v>
      </c>
      <c r="C20" s="15">
        <v>30</v>
      </c>
      <c r="D20" s="15">
        <v>30</v>
      </c>
      <c r="E20" s="15">
        <v>30</v>
      </c>
      <c r="F20" s="15">
        <v>30</v>
      </c>
      <c r="G20" s="15">
        <v>30</v>
      </c>
      <c r="H20" s="28">
        <f>SUM(50*5.5)</f>
        <v>275</v>
      </c>
      <c r="I20" s="28">
        <v>250</v>
      </c>
      <c r="J20" s="28"/>
      <c r="K20" s="28">
        <v>132</v>
      </c>
      <c r="L20" s="27">
        <f>SUM(B20:K20)</f>
        <v>867</v>
      </c>
      <c r="M20" s="5"/>
      <c r="N20" s="3"/>
    </row>
    <row r="21" spans="1:14">
      <c r="A21" s="16"/>
      <c r="B21" s="14"/>
      <c r="C21" s="14"/>
      <c r="D21" s="14"/>
      <c r="E21" s="14"/>
      <c r="F21" s="14"/>
      <c r="G21" s="14"/>
      <c r="H21" s="52" t="s">
        <v>168</v>
      </c>
      <c r="I21" s="111" t="s">
        <v>165</v>
      </c>
      <c r="J21" s="111"/>
      <c r="K21" s="111" t="s">
        <v>165</v>
      </c>
      <c r="L21" s="103">
        <f>SUM(L20/100)</f>
        <v>8.67</v>
      </c>
      <c r="N21" s="3"/>
    </row>
    <row r="22" spans="1:14">
      <c r="A22" s="30"/>
      <c r="B22" s="19"/>
      <c r="C22" s="19"/>
      <c r="D22" s="19"/>
      <c r="E22" s="19"/>
      <c r="F22" s="19"/>
      <c r="G22" s="19"/>
      <c r="H22" s="115"/>
      <c r="I22" s="108"/>
      <c r="J22" s="108"/>
      <c r="K22" s="108"/>
      <c r="L22" s="104"/>
      <c r="N22" s="3"/>
    </row>
    <row r="23" spans="1:14" ht="15.6">
      <c r="A23" s="107" t="s">
        <v>175</v>
      </c>
      <c r="B23" s="14"/>
      <c r="C23" s="14"/>
      <c r="D23" s="14"/>
      <c r="E23" s="14"/>
      <c r="F23" s="14"/>
      <c r="G23" s="14"/>
      <c r="H23" s="112" t="s">
        <v>168</v>
      </c>
      <c r="I23" s="111"/>
      <c r="J23" s="111"/>
      <c r="K23" s="15" t="s">
        <v>182</v>
      </c>
      <c r="L23" s="103"/>
      <c r="N23" s="3"/>
    </row>
    <row r="24" spans="1:14">
      <c r="A24" s="6" t="s">
        <v>45</v>
      </c>
      <c r="B24" s="8" t="s">
        <v>67</v>
      </c>
      <c r="C24" s="8" t="s">
        <v>43</v>
      </c>
      <c r="D24" s="8" t="s">
        <v>43</v>
      </c>
      <c r="E24" s="8" t="s">
        <v>43</v>
      </c>
      <c r="F24" s="8" t="s">
        <v>43</v>
      </c>
      <c r="G24" s="8" t="s">
        <v>43</v>
      </c>
      <c r="H24" s="8" t="s">
        <v>59</v>
      </c>
      <c r="I24" s="8" t="s">
        <v>171</v>
      </c>
      <c r="J24" s="8" t="s">
        <v>178</v>
      </c>
      <c r="K24" s="8" t="s">
        <v>183</v>
      </c>
      <c r="M24" s="3"/>
      <c r="N24" s="3"/>
    </row>
    <row r="25" spans="1:14">
      <c r="A25" s="9" t="s">
        <v>57</v>
      </c>
      <c r="B25" s="7" t="s">
        <v>13</v>
      </c>
      <c r="C25" s="7" t="s">
        <v>75</v>
      </c>
      <c r="D25" s="7" t="s">
        <v>33</v>
      </c>
      <c r="E25" s="7" t="s">
        <v>35</v>
      </c>
      <c r="F25" s="7" t="s">
        <v>36</v>
      </c>
      <c r="G25" s="7" t="s">
        <v>38</v>
      </c>
      <c r="H25" s="7" t="s">
        <v>39</v>
      </c>
      <c r="I25" s="7" t="s">
        <v>41</v>
      </c>
      <c r="J25" s="7">
        <v>26.99</v>
      </c>
      <c r="K25" s="7">
        <v>9.49</v>
      </c>
      <c r="M25" s="3"/>
      <c r="N25" s="3"/>
    </row>
    <row r="26" spans="1:14" ht="15.6">
      <c r="A26" s="32" t="s">
        <v>40</v>
      </c>
      <c r="B26" s="7" t="s">
        <v>14</v>
      </c>
      <c r="C26" s="7" t="s">
        <v>32</v>
      </c>
      <c r="D26" s="7" t="s">
        <v>34</v>
      </c>
      <c r="E26" s="7"/>
      <c r="F26" s="7" t="s">
        <v>37</v>
      </c>
      <c r="G26" s="7"/>
      <c r="H26" s="7" t="s">
        <v>63</v>
      </c>
      <c r="I26" s="7" t="s">
        <v>42</v>
      </c>
      <c r="J26" s="7">
        <v>26.99</v>
      </c>
      <c r="K26" s="7"/>
      <c r="M26" s="3"/>
      <c r="N26" s="3"/>
    </row>
    <row r="27" spans="1:14">
      <c r="B27" s="7" t="s">
        <v>15</v>
      </c>
      <c r="C27" s="7"/>
      <c r="D27" s="7"/>
      <c r="E27" s="7"/>
      <c r="F27" s="7"/>
      <c r="G27" s="7"/>
      <c r="H27" s="7">
        <v>12.97</v>
      </c>
      <c r="I27" s="7" t="s">
        <v>65</v>
      </c>
      <c r="J27" s="3">
        <v>19.989999999999998</v>
      </c>
      <c r="K27" s="3"/>
      <c r="M27" s="3"/>
      <c r="N27" s="3"/>
    </row>
    <row r="28" spans="1:14">
      <c r="A28" s="6"/>
      <c r="B28" s="7" t="s">
        <v>74</v>
      </c>
      <c r="C28" s="7"/>
      <c r="D28" s="7"/>
      <c r="E28" s="7"/>
      <c r="F28" s="7"/>
      <c r="G28" s="7"/>
      <c r="H28" s="7">
        <v>11.99</v>
      </c>
      <c r="I28" s="7" t="s">
        <v>66</v>
      </c>
      <c r="J28" s="7">
        <v>26.99</v>
      </c>
      <c r="K28" s="7"/>
      <c r="M28" s="3"/>
      <c r="N28" s="3"/>
    </row>
    <row r="29" spans="1:14">
      <c r="A29" s="6"/>
      <c r="B29" s="7"/>
      <c r="C29" s="7"/>
      <c r="D29" s="7" t="s">
        <v>8</v>
      </c>
      <c r="E29" s="7"/>
      <c r="F29" s="7"/>
      <c r="G29" s="7"/>
      <c r="H29" s="7"/>
      <c r="I29" s="7" t="s">
        <v>78</v>
      </c>
      <c r="J29" s="31">
        <v>26.49</v>
      </c>
      <c r="K29" s="31"/>
      <c r="M29" s="3"/>
      <c r="N29" s="3"/>
    </row>
    <row r="30" spans="1:14">
      <c r="A30" s="6" t="s">
        <v>31</v>
      </c>
      <c r="B30" s="7">
        <v>25.99</v>
      </c>
      <c r="C30" s="7">
        <v>26.99</v>
      </c>
      <c r="D30" s="7">
        <v>21.99</v>
      </c>
      <c r="E30" s="7">
        <v>34.99</v>
      </c>
      <c r="F30" s="7">
        <v>34.99</v>
      </c>
      <c r="G30" s="7">
        <v>40.99</v>
      </c>
      <c r="H30" s="12">
        <v>12.49</v>
      </c>
      <c r="I30" s="7">
        <v>1.05</v>
      </c>
      <c r="J30" s="7"/>
      <c r="K30" s="8" t="s">
        <v>189</v>
      </c>
      <c r="L30" s="7"/>
      <c r="M30" s="3"/>
      <c r="N30" s="3"/>
    </row>
    <row r="31" spans="1:14">
      <c r="A31" s="6" t="s">
        <v>79</v>
      </c>
      <c r="B31" s="7">
        <v>51.98</v>
      </c>
      <c r="C31" s="7">
        <v>26.99</v>
      </c>
      <c r="D31" s="7">
        <v>21.99</v>
      </c>
      <c r="E31" s="7">
        <v>34.99</v>
      </c>
      <c r="F31" s="7">
        <v>34.99</v>
      </c>
      <c r="G31" s="7">
        <v>40.99</v>
      </c>
      <c r="H31" s="12">
        <f>SUM(40*H30)</f>
        <v>499.6</v>
      </c>
      <c r="I31" s="7">
        <f>SUM(220*I30)</f>
        <v>231</v>
      </c>
      <c r="J31" s="7"/>
      <c r="K31" s="7">
        <f>SUM(17*K25)</f>
        <v>161.33000000000001</v>
      </c>
      <c r="L31" s="106">
        <f>SUM(B31:K31)</f>
        <v>1103.8599999999999</v>
      </c>
      <c r="M31" s="3"/>
      <c r="N31" s="3"/>
    </row>
    <row r="32" spans="1:14">
      <c r="A32" s="6"/>
      <c r="B32" s="7"/>
      <c r="C32" s="7"/>
      <c r="D32" s="7"/>
      <c r="E32" s="7"/>
      <c r="F32" s="7"/>
      <c r="G32" s="7"/>
      <c r="H32" s="12"/>
      <c r="I32" s="7"/>
      <c r="J32" s="7"/>
      <c r="K32" s="7"/>
      <c r="L32" s="8"/>
      <c r="M32" s="3"/>
      <c r="N32" s="3"/>
    </row>
    <row r="33" spans="1:14" ht="15.6">
      <c r="A33" s="110" t="s">
        <v>44</v>
      </c>
      <c r="B33" s="7"/>
      <c r="C33" s="7"/>
      <c r="D33" s="7"/>
      <c r="E33" s="7"/>
      <c r="F33" s="7"/>
      <c r="G33" s="7"/>
      <c r="H33" s="15" t="s">
        <v>60</v>
      </c>
      <c r="I33" s="8" t="s">
        <v>68</v>
      </c>
      <c r="J33" s="8"/>
      <c r="K33" s="2" t="s">
        <v>179</v>
      </c>
      <c r="L33" s="8"/>
      <c r="M33" s="3"/>
      <c r="N33" s="3"/>
    </row>
    <row r="34" spans="1:14">
      <c r="A34" s="16" t="s">
        <v>79</v>
      </c>
      <c r="B34" s="14">
        <v>51.98</v>
      </c>
      <c r="C34" s="14">
        <v>53.98</v>
      </c>
      <c r="D34" s="14">
        <v>21.99</v>
      </c>
      <c r="E34" s="14">
        <v>34.99</v>
      </c>
      <c r="F34" s="14">
        <v>34.99</v>
      </c>
      <c r="G34" s="14">
        <v>40.99</v>
      </c>
      <c r="H34" s="23">
        <f>SUM(50*H30)</f>
        <v>624.5</v>
      </c>
      <c r="I34" s="23">
        <f>SUM(250*I30)</f>
        <v>262.5</v>
      </c>
      <c r="J34" s="23"/>
      <c r="K34" s="36">
        <f>SUM(22*K25)</f>
        <v>208.78</v>
      </c>
      <c r="L34" s="54">
        <f>SUM(B34:K34)</f>
        <v>1334.7</v>
      </c>
    </row>
    <row r="35" spans="1:14">
      <c r="A35" s="30"/>
      <c r="B35" s="19"/>
      <c r="C35" s="19"/>
      <c r="D35" s="19"/>
      <c r="E35" s="19"/>
      <c r="F35" s="19"/>
      <c r="G35" s="19"/>
      <c r="H35" s="113"/>
      <c r="I35" s="113"/>
      <c r="J35" s="113"/>
      <c r="K35" s="113"/>
      <c r="L35" s="114"/>
    </row>
    <row r="36" spans="1:14" ht="15.6">
      <c r="A36" s="32" t="s">
        <v>176</v>
      </c>
      <c r="B36" s="10"/>
      <c r="C36" s="10"/>
      <c r="D36" s="10"/>
      <c r="E36" s="10"/>
      <c r="F36" s="10"/>
      <c r="G36" s="10"/>
      <c r="H36" s="8" t="s">
        <v>168</v>
      </c>
      <c r="I36" s="10"/>
      <c r="J36" s="10"/>
      <c r="K36" s="8" t="s">
        <v>187</v>
      </c>
      <c r="L36" s="10"/>
    </row>
    <row r="37" spans="1:14">
      <c r="A37" s="6" t="s">
        <v>45</v>
      </c>
      <c r="B37" s="8" t="s">
        <v>67</v>
      </c>
      <c r="C37" s="8" t="s">
        <v>43</v>
      </c>
      <c r="D37" s="8" t="s">
        <v>43</v>
      </c>
      <c r="E37" s="8" t="s">
        <v>52</v>
      </c>
      <c r="F37" s="8" t="s">
        <v>43</v>
      </c>
      <c r="G37" s="8" t="s">
        <v>43</v>
      </c>
      <c r="H37" s="8" t="s">
        <v>59</v>
      </c>
      <c r="I37" s="8" t="s">
        <v>171</v>
      </c>
      <c r="J37" s="8"/>
      <c r="K37" s="8" t="s">
        <v>181</v>
      </c>
      <c r="L37" s="7"/>
    </row>
    <row r="38" spans="1:14">
      <c r="A38" s="9" t="s">
        <v>58</v>
      </c>
      <c r="B38" s="7" t="s">
        <v>16</v>
      </c>
      <c r="C38" s="7" t="s">
        <v>46</v>
      </c>
      <c r="D38" s="7" t="s">
        <v>48</v>
      </c>
      <c r="E38" s="7" t="s">
        <v>50</v>
      </c>
      <c r="F38" s="7" t="s">
        <v>54</v>
      </c>
      <c r="G38" s="7" t="s">
        <v>53</v>
      </c>
      <c r="H38" s="7" t="s">
        <v>55</v>
      </c>
      <c r="I38" s="7" t="s">
        <v>56</v>
      </c>
      <c r="J38" s="7">
        <v>27.99</v>
      </c>
      <c r="K38" s="8" t="s">
        <v>185</v>
      </c>
    </row>
    <row r="39" spans="1:14" ht="15.6">
      <c r="A39" s="32" t="s">
        <v>40</v>
      </c>
      <c r="B39" s="7" t="s">
        <v>17</v>
      </c>
      <c r="C39" s="7" t="s">
        <v>47</v>
      </c>
      <c r="D39" s="7" t="s">
        <v>49</v>
      </c>
      <c r="E39" s="7" t="s">
        <v>51</v>
      </c>
      <c r="F39" s="7"/>
      <c r="G39" s="7"/>
      <c r="H39" s="7" t="s">
        <v>64</v>
      </c>
      <c r="I39" s="7" t="s">
        <v>42</v>
      </c>
      <c r="J39" s="7">
        <v>26.99</v>
      </c>
      <c r="K39" s="7">
        <v>11.97</v>
      </c>
    </row>
    <row r="40" spans="1:14">
      <c r="B40" s="7"/>
      <c r="C40" s="7"/>
      <c r="D40" s="7"/>
      <c r="E40" s="7"/>
      <c r="F40" s="7"/>
      <c r="G40" s="7"/>
      <c r="H40" s="7">
        <v>27.99</v>
      </c>
      <c r="I40" s="7" t="s">
        <v>65</v>
      </c>
      <c r="J40" s="3">
        <v>19.989999999999998</v>
      </c>
      <c r="K40" s="3"/>
    </row>
    <row r="41" spans="1:14">
      <c r="A41" s="6"/>
      <c r="B41" s="7"/>
      <c r="C41" s="7"/>
      <c r="D41" s="7"/>
      <c r="E41" s="7"/>
      <c r="F41" s="7"/>
      <c r="G41" s="7"/>
      <c r="H41" s="7">
        <v>29.99</v>
      </c>
      <c r="I41" s="7" t="s">
        <v>66</v>
      </c>
      <c r="J41" s="29">
        <v>26.99</v>
      </c>
      <c r="K41" s="29"/>
    </row>
    <row r="42" spans="1:14">
      <c r="A42" s="6"/>
      <c r="B42" s="7"/>
      <c r="C42" s="7"/>
      <c r="D42" s="7"/>
      <c r="E42" s="7"/>
      <c r="F42" s="7"/>
      <c r="G42" s="7"/>
      <c r="L42" s="7"/>
    </row>
    <row r="43" spans="1:14">
      <c r="A43" s="6" t="s">
        <v>31</v>
      </c>
      <c r="B43" s="7">
        <v>35.99</v>
      </c>
      <c r="C43" s="7">
        <v>34.99</v>
      </c>
      <c r="D43" s="7">
        <v>34.99</v>
      </c>
      <c r="E43" s="7">
        <v>37.99</v>
      </c>
      <c r="F43" s="7">
        <v>44.99</v>
      </c>
      <c r="G43" s="7">
        <v>55.99</v>
      </c>
      <c r="H43" s="12">
        <v>28.98</v>
      </c>
      <c r="I43" s="7">
        <v>1.06</v>
      </c>
      <c r="J43" s="7"/>
      <c r="K43" s="2" t="s">
        <v>189</v>
      </c>
      <c r="L43" s="7"/>
    </row>
    <row r="44" spans="1:14">
      <c r="A44" s="6" t="s">
        <v>79</v>
      </c>
      <c r="B44" s="7">
        <v>71.98</v>
      </c>
      <c r="C44" s="7">
        <v>34.99</v>
      </c>
      <c r="D44" s="7">
        <v>34.99</v>
      </c>
      <c r="E44" s="7">
        <v>37.99</v>
      </c>
      <c r="F44" s="7">
        <v>44.99</v>
      </c>
      <c r="G44" s="7">
        <v>55.99</v>
      </c>
      <c r="H44" s="12">
        <f>SUM(H43*40)</f>
        <v>1159.2</v>
      </c>
      <c r="I44" s="12">
        <f>SUM(200*I43)</f>
        <v>212</v>
      </c>
      <c r="J44" s="12"/>
      <c r="K44" s="12">
        <f>SUM(17*K39)</f>
        <v>203.49</v>
      </c>
      <c r="L44" s="106">
        <f>SUM(B44:K44)</f>
        <v>1855.6200000000001</v>
      </c>
    </row>
    <row r="45" spans="1:14">
      <c r="A45" s="6"/>
      <c r="B45" s="7"/>
      <c r="C45" s="7"/>
      <c r="D45" s="7"/>
      <c r="E45" s="7"/>
      <c r="F45" s="7"/>
      <c r="G45" s="7"/>
      <c r="H45" s="12"/>
      <c r="I45" s="12"/>
      <c r="J45" s="12"/>
      <c r="K45" s="12"/>
      <c r="L45" s="106"/>
    </row>
    <row r="46" spans="1:14">
      <c r="B46" s="7"/>
      <c r="C46" s="7"/>
      <c r="D46" s="7"/>
      <c r="E46" s="8"/>
      <c r="F46" s="7"/>
      <c r="G46" s="7"/>
      <c r="H46" s="15" t="s">
        <v>60</v>
      </c>
      <c r="I46" s="8" t="s">
        <v>172</v>
      </c>
      <c r="J46" s="8"/>
      <c r="K46" s="8" t="s">
        <v>188</v>
      </c>
      <c r="L46" s="8"/>
    </row>
    <row r="47" spans="1:14" ht="15.6">
      <c r="A47" s="32" t="s">
        <v>44</v>
      </c>
      <c r="B47" s="7">
        <v>71.98</v>
      </c>
      <c r="C47" s="7">
        <v>34.99</v>
      </c>
      <c r="D47" s="7">
        <v>34.99</v>
      </c>
      <c r="E47" s="7">
        <v>37.99</v>
      </c>
      <c r="F47" s="7">
        <v>44.99</v>
      </c>
      <c r="G47" s="7">
        <v>55.99</v>
      </c>
      <c r="H47" s="7">
        <f>SUM(H43*50)</f>
        <v>1449</v>
      </c>
      <c r="I47" s="7">
        <f>SUM(250*I43)</f>
        <v>265</v>
      </c>
      <c r="J47" s="7"/>
      <c r="K47" s="7">
        <f>SUM(K39*22)</f>
        <v>263.34000000000003</v>
      </c>
      <c r="L47" s="106">
        <f>SUM(B47:K47)</f>
        <v>2258.27</v>
      </c>
    </row>
    <row r="48" spans="1:14" ht="15.6">
      <c r="A48" s="32"/>
      <c r="B48" s="7"/>
      <c r="C48" s="7"/>
      <c r="D48" s="7"/>
      <c r="E48" s="7"/>
      <c r="F48" s="7"/>
      <c r="G48" s="7"/>
      <c r="H48" s="7"/>
      <c r="I48" s="7"/>
      <c r="J48" s="7"/>
      <c r="K48" s="7"/>
      <c r="L48" s="106"/>
    </row>
    <row r="49" spans="1:12">
      <c r="A49" s="1" t="s">
        <v>167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106"/>
    </row>
    <row r="50" spans="1:12">
      <c r="A50" s="1" t="s">
        <v>186</v>
      </c>
      <c r="B50" s="36"/>
      <c r="C50" s="36"/>
      <c r="D50" s="36"/>
      <c r="E50" s="7"/>
      <c r="F50" s="7"/>
      <c r="G50" s="7"/>
      <c r="H50" s="7"/>
      <c r="I50" s="7"/>
      <c r="J50" s="7"/>
      <c r="K50" s="7"/>
      <c r="L50" s="106"/>
    </row>
    <row r="51" spans="1:12">
      <c r="A51" s="1" t="s">
        <v>177</v>
      </c>
      <c r="B51" s="36"/>
      <c r="C51" s="36"/>
      <c r="D51" s="36"/>
      <c r="E51" s="7"/>
      <c r="F51" s="7"/>
      <c r="G51" s="7"/>
      <c r="H51" s="7"/>
      <c r="I51" s="7"/>
      <c r="J51" s="7"/>
      <c r="K51" s="7"/>
      <c r="L51" s="106"/>
    </row>
    <row r="52" spans="1:12">
      <c r="A52" s="1" t="s">
        <v>194</v>
      </c>
      <c r="B52" s="36"/>
      <c r="C52" s="36"/>
      <c r="D52" s="36"/>
      <c r="E52" s="7"/>
      <c r="F52" s="7"/>
      <c r="G52" s="7"/>
      <c r="H52" s="7"/>
      <c r="I52" s="7"/>
      <c r="J52" s="7"/>
      <c r="K52" s="7"/>
      <c r="L52" s="106"/>
    </row>
    <row r="53" spans="1:12">
      <c r="A53" s="22" t="s">
        <v>80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</row>
    <row r="54" spans="1:12">
      <c r="A54" s="22" t="s">
        <v>70</v>
      </c>
      <c r="B54" s="22"/>
      <c r="D54" s="22"/>
      <c r="E54" s="22"/>
      <c r="F54" s="10"/>
      <c r="G54" s="10" t="s">
        <v>173</v>
      </c>
      <c r="H54" s="10"/>
      <c r="I54" s="10"/>
      <c r="J54" s="10"/>
      <c r="K54" s="10"/>
      <c r="L54" s="10"/>
    </row>
    <row r="55" spans="1:12">
      <c r="A55" s="22" t="s">
        <v>71</v>
      </c>
      <c r="B55" s="22"/>
      <c r="C55" s="22"/>
      <c r="D55" s="22"/>
      <c r="E55" s="22"/>
      <c r="F55" s="10"/>
      <c r="G55" s="10"/>
      <c r="H55" s="10"/>
      <c r="I55" s="10"/>
      <c r="J55" s="10"/>
      <c r="K55" s="10"/>
      <c r="L55" s="10"/>
    </row>
    <row r="56" spans="1:12">
      <c r="A56" s="22" t="s">
        <v>72</v>
      </c>
      <c r="B56" s="22"/>
      <c r="C56" s="22"/>
      <c r="D56" s="22"/>
      <c r="E56" s="22"/>
      <c r="F56" s="10"/>
      <c r="G56" s="10"/>
      <c r="H56" s="10"/>
      <c r="I56" s="10"/>
      <c r="J56" s="10"/>
      <c r="K56" s="10"/>
      <c r="L56" s="10"/>
    </row>
    <row r="57" spans="1:12">
      <c r="A57" s="22" t="s">
        <v>190</v>
      </c>
      <c r="B57" s="22"/>
      <c r="C57" s="22"/>
      <c r="D57" s="22"/>
      <c r="E57" s="22"/>
      <c r="F57" s="10"/>
      <c r="G57" s="10"/>
      <c r="H57" s="10"/>
      <c r="I57" s="10"/>
      <c r="J57" s="10"/>
      <c r="K57" s="10"/>
      <c r="L57" s="10"/>
    </row>
    <row r="58" spans="1:1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</row>
    <row r="59" spans="1:1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</row>
  </sheetData>
  <pageMargins left="0.2" right="0.2" top="0.25" bottom="0" header="0.3" footer="0.05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0"/>
  <sheetViews>
    <sheetView topLeftCell="A33" workbookViewId="0">
      <selection activeCell="A41" sqref="A41"/>
    </sheetView>
  </sheetViews>
  <sheetFormatPr defaultRowHeight="14.4"/>
  <cols>
    <col min="1" max="1" width="20.88671875" customWidth="1"/>
    <col min="2" max="2" width="12" customWidth="1"/>
    <col min="3" max="3" width="15.77734375" customWidth="1"/>
    <col min="4" max="4" width="15.6640625" customWidth="1"/>
    <col min="5" max="5" width="15.33203125" style="3" customWidth="1"/>
    <col min="6" max="6" width="10.77734375" customWidth="1"/>
    <col min="7" max="7" width="12.109375" customWidth="1"/>
    <col min="8" max="8" width="11.5546875" style="3" customWidth="1"/>
    <col min="9" max="9" width="14.5546875" style="3" customWidth="1"/>
    <col min="10" max="10" width="16.33203125" style="3" customWidth="1"/>
  </cols>
  <sheetData>
    <row r="1" spans="1:5">
      <c r="C1" s="46">
        <v>44195</v>
      </c>
    </row>
    <row r="7" spans="1:5">
      <c r="B7" s="21"/>
      <c r="C7" s="21"/>
      <c r="D7" s="21"/>
    </row>
    <row r="8" spans="1:5">
      <c r="B8" s="21"/>
      <c r="C8" s="21"/>
      <c r="D8" s="21"/>
    </row>
    <row r="9" spans="1:5">
      <c r="B9" s="21"/>
      <c r="C9" s="21"/>
      <c r="D9" s="21"/>
    </row>
    <row r="10" spans="1:5" ht="15.6">
      <c r="A10" s="32" t="s">
        <v>161</v>
      </c>
      <c r="C10" s="21"/>
      <c r="D10" s="21"/>
    </row>
    <row r="11" spans="1:5" ht="15.6">
      <c r="A11" s="32" t="s">
        <v>162</v>
      </c>
      <c r="C11" s="21"/>
      <c r="D11" s="21"/>
      <c r="E11" s="21"/>
    </row>
    <row r="12" spans="1:5" ht="15.6">
      <c r="A12" s="32"/>
      <c r="C12" s="21"/>
      <c r="D12" s="21"/>
      <c r="E12" s="21"/>
    </row>
    <row r="13" spans="1:5">
      <c r="A13" s="1" t="s">
        <v>159</v>
      </c>
      <c r="B13" s="43"/>
      <c r="C13" s="44"/>
      <c r="D13" s="21"/>
    </row>
    <row r="14" spans="1:5">
      <c r="A14" s="1" t="s">
        <v>83</v>
      </c>
      <c r="B14" s="43"/>
      <c r="C14" s="44"/>
      <c r="D14" s="21"/>
    </row>
    <row r="15" spans="1:5">
      <c r="A15" s="1" t="s">
        <v>82</v>
      </c>
      <c r="B15" s="45" t="s">
        <v>105</v>
      </c>
      <c r="C15" s="44"/>
      <c r="D15" s="21"/>
    </row>
    <row r="16" spans="1:5">
      <c r="C16" s="44"/>
      <c r="D16" s="21"/>
    </row>
    <row r="17" spans="1:10">
      <c r="C17" s="21"/>
      <c r="D17" s="21"/>
      <c r="H17" s="2"/>
      <c r="I17" s="2" t="s">
        <v>97</v>
      </c>
      <c r="J17" s="2" t="s">
        <v>100</v>
      </c>
    </row>
    <row r="18" spans="1:10" ht="15.6">
      <c r="A18" s="39" t="s">
        <v>84</v>
      </c>
      <c r="C18" s="2" t="s">
        <v>95</v>
      </c>
      <c r="D18" s="2" t="s">
        <v>93</v>
      </c>
      <c r="E18" s="2" t="s">
        <v>92</v>
      </c>
      <c r="F18" s="2" t="s">
        <v>88</v>
      </c>
      <c r="H18" s="2" t="s">
        <v>156</v>
      </c>
      <c r="I18" s="2" t="s">
        <v>98</v>
      </c>
      <c r="J18" s="2" t="s">
        <v>160</v>
      </c>
    </row>
    <row r="19" spans="1:10">
      <c r="A19" s="34" t="s">
        <v>85</v>
      </c>
      <c r="B19" s="35" t="s">
        <v>86</v>
      </c>
      <c r="C19" s="34" t="s">
        <v>96</v>
      </c>
      <c r="D19" s="34" t="s">
        <v>94</v>
      </c>
      <c r="E19" s="35" t="s">
        <v>91</v>
      </c>
      <c r="F19" s="34" t="s">
        <v>89</v>
      </c>
      <c r="G19" s="35" t="s">
        <v>90</v>
      </c>
      <c r="H19" s="34" t="s">
        <v>157</v>
      </c>
      <c r="I19" s="47" t="s">
        <v>99</v>
      </c>
      <c r="J19" s="47" t="s">
        <v>158</v>
      </c>
    </row>
    <row r="20" spans="1:10">
      <c r="A20" s="2">
        <v>50</v>
      </c>
      <c r="B20" s="33">
        <v>3</v>
      </c>
      <c r="C20" s="42">
        <f>SUM(A20*3)</f>
        <v>150</v>
      </c>
      <c r="D20" s="36">
        <f>SUM(E20/5)</f>
        <v>25</v>
      </c>
      <c r="E20" s="2">
        <f>SUM(A20*2.5)</f>
        <v>125</v>
      </c>
      <c r="F20" s="41">
        <f>SUM(C20+E20)</f>
        <v>275</v>
      </c>
      <c r="G20" s="37">
        <f t="shared" ref="G20:G34" si="0">SUM(F20/A20)</f>
        <v>5.5</v>
      </c>
      <c r="H20" s="3">
        <v>3</v>
      </c>
      <c r="I20" s="3">
        <f>SUM(H20*55)</f>
        <v>165</v>
      </c>
      <c r="J20" s="3">
        <v>0</v>
      </c>
    </row>
    <row r="21" spans="1:10">
      <c r="A21" s="2">
        <v>50</v>
      </c>
      <c r="B21" s="33">
        <v>4</v>
      </c>
      <c r="C21" s="42">
        <v>170</v>
      </c>
      <c r="D21" s="36">
        <v>29</v>
      </c>
      <c r="E21" s="2">
        <v>150</v>
      </c>
      <c r="F21" s="41">
        <f t="shared" ref="F21:F34" si="1">SUM(C21+E21)</f>
        <v>320</v>
      </c>
      <c r="G21" s="37">
        <f t="shared" si="0"/>
        <v>6.4</v>
      </c>
      <c r="H21" s="3">
        <v>3</v>
      </c>
      <c r="I21" s="3">
        <f t="shared" ref="I21:I34" si="2">SUM(H21*55)</f>
        <v>165</v>
      </c>
      <c r="J21" s="3">
        <v>0</v>
      </c>
    </row>
    <row r="22" spans="1:10">
      <c r="A22" s="2">
        <v>50</v>
      </c>
      <c r="B22" s="33">
        <v>5</v>
      </c>
      <c r="C22" s="42">
        <v>190</v>
      </c>
      <c r="D22" s="36">
        <v>34</v>
      </c>
      <c r="E22" s="2">
        <v>170</v>
      </c>
      <c r="F22" s="41">
        <f t="shared" si="1"/>
        <v>360</v>
      </c>
      <c r="G22" s="37">
        <f t="shared" si="0"/>
        <v>7.2</v>
      </c>
      <c r="H22" s="3">
        <v>4</v>
      </c>
      <c r="I22" s="3">
        <f t="shared" si="2"/>
        <v>220</v>
      </c>
      <c r="J22" s="3">
        <v>0</v>
      </c>
    </row>
    <row r="23" spans="1:10">
      <c r="A23" s="2"/>
      <c r="B23" s="33"/>
      <c r="C23" s="42"/>
      <c r="D23" s="36"/>
      <c r="E23" s="2"/>
      <c r="F23" s="41"/>
      <c r="G23" s="37"/>
    </row>
    <row r="24" spans="1:10">
      <c r="A24" s="2">
        <v>100</v>
      </c>
      <c r="B24" s="33">
        <v>3</v>
      </c>
      <c r="C24" s="42">
        <f t="shared" ref="C24:C32" si="3">SUM(A24*3)</f>
        <v>300</v>
      </c>
      <c r="D24" s="36">
        <f t="shared" ref="D24" si="4">SUM(E24/5)</f>
        <v>50</v>
      </c>
      <c r="E24" s="2">
        <f>SUM(A24*2.5)</f>
        <v>250</v>
      </c>
      <c r="F24" s="41">
        <f t="shared" si="1"/>
        <v>550</v>
      </c>
      <c r="G24" s="37">
        <f t="shared" si="0"/>
        <v>5.5</v>
      </c>
      <c r="H24" s="41">
        <v>6</v>
      </c>
      <c r="I24" s="3">
        <f t="shared" si="2"/>
        <v>330</v>
      </c>
      <c r="J24" s="3">
        <v>0</v>
      </c>
    </row>
    <row r="25" spans="1:10">
      <c r="A25" s="2">
        <v>100</v>
      </c>
      <c r="B25" s="33">
        <v>4</v>
      </c>
      <c r="C25" s="42">
        <v>340</v>
      </c>
      <c r="D25" s="36">
        <v>60</v>
      </c>
      <c r="E25" s="2">
        <v>300</v>
      </c>
      <c r="F25" s="41">
        <f t="shared" si="1"/>
        <v>640</v>
      </c>
      <c r="G25" s="37">
        <f t="shared" si="0"/>
        <v>6.4</v>
      </c>
      <c r="H25" s="3">
        <v>6</v>
      </c>
      <c r="I25" s="3">
        <f t="shared" si="2"/>
        <v>330</v>
      </c>
      <c r="J25" s="3">
        <v>0</v>
      </c>
    </row>
    <row r="26" spans="1:10">
      <c r="A26" s="2">
        <v>100</v>
      </c>
      <c r="B26" s="33">
        <v>5</v>
      </c>
      <c r="C26" s="42">
        <v>370</v>
      </c>
      <c r="D26" s="36">
        <v>70</v>
      </c>
      <c r="E26" s="2">
        <v>350</v>
      </c>
      <c r="F26" s="41">
        <f t="shared" si="1"/>
        <v>720</v>
      </c>
      <c r="G26" s="37">
        <f t="shared" si="0"/>
        <v>7.2</v>
      </c>
      <c r="H26" s="3">
        <v>6</v>
      </c>
      <c r="I26" s="3">
        <f t="shared" si="2"/>
        <v>330</v>
      </c>
      <c r="J26" s="3">
        <v>2</v>
      </c>
    </row>
    <row r="27" spans="1:10">
      <c r="A27" s="2"/>
      <c r="B27" s="33"/>
      <c r="C27" s="42"/>
      <c r="D27" s="36"/>
      <c r="E27" s="2"/>
      <c r="F27" s="41"/>
      <c r="G27" s="37"/>
    </row>
    <row r="28" spans="1:10">
      <c r="A28" s="2">
        <v>125</v>
      </c>
      <c r="B28" s="33">
        <v>3</v>
      </c>
      <c r="C28" s="42">
        <f t="shared" ref="C28" si="5">SUM(A28*3)</f>
        <v>375</v>
      </c>
      <c r="D28" s="49">
        <v>60</v>
      </c>
      <c r="E28" s="42">
        <v>300</v>
      </c>
      <c r="F28" s="41">
        <f t="shared" ref="F28:F29" si="6">SUM(C28+E28)</f>
        <v>675</v>
      </c>
      <c r="G28" s="37">
        <f t="shared" ref="G28:G29" si="7">SUM(F28/A28)</f>
        <v>5.4</v>
      </c>
      <c r="H28" s="41">
        <v>6</v>
      </c>
      <c r="I28" s="3">
        <f t="shared" si="2"/>
        <v>330</v>
      </c>
      <c r="J28" s="3">
        <v>2</v>
      </c>
    </row>
    <row r="29" spans="1:10">
      <c r="A29" s="2">
        <v>125</v>
      </c>
      <c r="B29" s="33">
        <v>4</v>
      </c>
      <c r="C29" s="42">
        <v>440</v>
      </c>
      <c r="D29" s="36">
        <v>72</v>
      </c>
      <c r="E29" s="2">
        <f>SUM(D29*5)</f>
        <v>360</v>
      </c>
      <c r="F29" s="41">
        <f t="shared" si="6"/>
        <v>800</v>
      </c>
      <c r="G29" s="37">
        <f t="shared" si="7"/>
        <v>6.4</v>
      </c>
      <c r="H29" s="3">
        <v>6</v>
      </c>
      <c r="I29" s="3">
        <f t="shared" si="2"/>
        <v>330</v>
      </c>
      <c r="J29" s="3">
        <v>4</v>
      </c>
    </row>
    <row r="30" spans="1:10">
      <c r="A30" s="2">
        <v>125</v>
      </c>
      <c r="B30" s="33">
        <v>5</v>
      </c>
      <c r="C30" s="42">
        <v>490</v>
      </c>
      <c r="D30" s="36">
        <v>84</v>
      </c>
      <c r="E30" s="2">
        <f>SUM(D30*5)</f>
        <v>420</v>
      </c>
      <c r="F30" s="41">
        <f t="shared" ref="F30" si="8">SUM(C30+E30)</f>
        <v>910</v>
      </c>
      <c r="G30" s="37">
        <f t="shared" ref="G30" si="9">SUM(F30/A30)</f>
        <v>7.28</v>
      </c>
      <c r="H30" s="3">
        <v>6</v>
      </c>
      <c r="I30" s="3">
        <f t="shared" si="2"/>
        <v>330</v>
      </c>
      <c r="J30" s="3">
        <v>5.5</v>
      </c>
    </row>
    <row r="31" spans="1:10">
      <c r="A31" s="2"/>
      <c r="B31" s="33"/>
      <c r="C31" s="42"/>
      <c r="D31" s="36"/>
      <c r="E31" s="2"/>
      <c r="F31" s="41"/>
      <c r="G31" s="37"/>
    </row>
    <row r="32" spans="1:10">
      <c r="A32" s="2">
        <v>150</v>
      </c>
      <c r="B32" s="33">
        <v>3</v>
      </c>
      <c r="C32" s="42">
        <f t="shared" si="3"/>
        <v>450</v>
      </c>
      <c r="D32" s="36">
        <v>75</v>
      </c>
      <c r="E32" s="2">
        <f>SUM(D32*5)</f>
        <v>375</v>
      </c>
      <c r="F32" s="41">
        <f t="shared" si="1"/>
        <v>825</v>
      </c>
      <c r="G32" s="37">
        <f t="shared" si="0"/>
        <v>5.5</v>
      </c>
      <c r="H32" s="3">
        <v>6</v>
      </c>
      <c r="I32" s="3">
        <f t="shared" si="2"/>
        <v>330</v>
      </c>
      <c r="J32" s="3">
        <v>2</v>
      </c>
    </row>
    <row r="33" spans="1:10">
      <c r="A33" s="2">
        <v>150</v>
      </c>
      <c r="B33" s="33">
        <v>4</v>
      </c>
      <c r="C33" s="42">
        <v>510</v>
      </c>
      <c r="D33" s="36">
        <v>90</v>
      </c>
      <c r="E33" s="2">
        <f t="shared" ref="E33:E34" si="10">SUM(D33*5)</f>
        <v>450</v>
      </c>
      <c r="F33" s="41">
        <f t="shared" si="1"/>
        <v>960</v>
      </c>
      <c r="G33" s="37">
        <f t="shared" si="0"/>
        <v>6.4</v>
      </c>
      <c r="H33" s="3">
        <v>6</v>
      </c>
      <c r="I33" s="3">
        <f t="shared" si="2"/>
        <v>330</v>
      </c>
      <c r="J33" s="3">
        <v>5</v>
      </c>
    </row>
    <row r="34" spans="1:10">
      <c r="A34" s="2">
        <v>150</v>
      </c>
      <c r="B34" s="33">
        <v>5</v>
      </c>
      <c r="C34" s="42">
        <v>570</v>
      </c>
      <c r="D34" s="36">
        <v>105</v>
      </c>
      <c r="E34" s="2">
        <f t="shared" si="10"/>
        <v>525</v>
      </c>
      <c r="F34" s="41">
        <f t="shared" si="1"/>
        <v>1095</v>
      </c>
      <c r="G34" s="37">
        <f t="shared" si="0"/>
        <v>7.3</v>
      </c>
      <c r="H34" s="3">
        <v>6</v>
      </c>
      <c r="I34" s="3">
        <f t="shared" si="2"/>
        <v>330</v>
      </c>
      <c r="J34" s="3">
        <v>8</v>
      </c>
    </row>
    <row r="35" spans="1:10">
      <c r="A35" s="2"/>
      <c r="B35" s="33"/>
      <c r="C35" s="40"/>
      <c r="D35" s="36"/>
      <c r="F35" s="41"/>
      <c r="G35" s="38"/>
    </row>
    <row r="36" spans="1:10">
      <c r="A36" s="1" t="s">
        <v>103</v>
      </c>
      <c r="F36" t="s">
        <v>8</v>
      </c>
    </row>
    <row r="37" spans="1:10">
      <c r="A37" s="1" t="s">
        <v>104</v>
      </c>
    </row>
    <row r="38" spans="1:10">
      <c r="A38" s="1" t="s">
        <v>101</v>
      </c>
    </row>
    <row r="39" spans="1:10">
      <c r="A39" s="1" t="s">
        <v>102</v>
      </c>
    </row>
    <row r="40" spans="1:10">
      <c r="A40" s="1" t="s">
        <v>87</v>
      </c>
      <c r="B40" s="21"/>
      <c r="C40" s="21"/>
      <c r="D40" s="21"/>
      <c r="F40" t="s">
        <v>8</v>
      </c>
    </row>
    <row r="41" spans="1:10">
      <c r="A41" s="1" t="s">
        <v>163</v>
      </c>
      <c r="B41" s="21"/>
      <c r="C41" s="21"/>
      <c r="D41" s="21"/>
    </row>
    <row r="42" spans="1:10">
      <c r="A42" s="48"/>
      <c r="B42" s="21"/>
      <c r="C42" s="21"/>
      <c r="D42" s="21"/>
    </row>
    <row r="43" spans="1:10">
      <c r="B43" s="21"/>
      <c r="C43" s="21"/>
      <c r="D43" s="21"/>
    </row>
    <row r="44" spans="1:10">
      <c r="B44" s="21"/>
      <c r="C44" s="21"/>
      <c r="D44" s="21"/>
    </row>
    <row r="45" spans="1:10">
      <c r="B45" s="21"/>
      <c r="C45" s="21"/>
      <c r="D45" s="21"/>
    </row>
    <row r="46" spans="1:10">
      <c r="B46" s="21"/>
      <c r="C46" s="21"/>
      <c r="D46" s="21"/>
    </row>
    <row r="47" spans="1:10">
      <c r="B47" s="21"/>
      <c r="C47" s="21"/>
      <c r="D47" s="21"/>
    </row>
    <row r="48" spans="1:10">
      <c r="B48" s="21"/>
      <c r="C48" s="21"/>
      <c r="D48" s="21"/>
    </row>
    <row r="49" spans="2:4">
      <c r="B49" s="21"/>
      <c r="C49" s="21"/>
      <c r="D49" s="21"/>
    </row>
    <row r="50" spans="2:4">
      <c r="B50" s="10"/>
      <c r="C50" s="10"/>
      <c r="D50" s="10"/>
    </row>
  </sheetData>
  <pageMargins left="0.7" right="0.7" top="0.75" bottom="0.75" header="0.3" footer="0.3"/>
  <pageSetup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75"/>
  <sheetViews>
    <sheetView topLeftCell="A3" workbookViewId="0">
      <selection activeCell="H5" sqref="H5"/>
    </sheetView>
  </sheetViews>
  <sheetFormatPr defaultRowHeight="14.4"/>
  <cols>
    <col min="1" max="1" width="20.5546875" customWidth="1"/>
    <col min="2" max="2" width="25.5546875" customWidth="1"/>
    <col min="3" max="3" width="23.77734375" customWidth="1"/>
    <col min="4" max="4" width="23.21875" customWidth="1"/>
    <col min="5" max="5" width="11.77734375" customWidth="1"/>
    <col min="6" max="6" width="16.21875" customWidth="1"/>
  </cols>
  <sheetData>
    <row r="1" spans="1:7" ht="15.6">
      <c r="A1" s="32" t="s">
        <v>112</v>
      </c>
      <c r="C1" s="32"/>
    </row>
    <row r="2" spans="1:7">
      <c r="A2" s="46">
        <v>44195</v>
      </c>
      <c r="E2" s="8"/>
    </row>
    <row r="3" spans="1:7">
      <c r="A3" s="6"/>
      <c r="B3" s="8" t="s">
        <v>147</v>
      </c>
      <c r="E3" s="8" t="s">
        <v>145</v>
      </c>
      <c r="F3" s="8" t="s">
        <v>155</v>
      </c>
    </row>
    <row r="4" spans="1:7">
      <c r="A4" s="6" t="s">
        <v>111</v>
      </c>
      <c r="B4" s="8" t="s">
        <v>6</v>
      </c>
      <c r="C4" s="3" t="s">
        <v>151</v>
      </c>
      <c r="D4" s="8" t="s">
        <v>98</v>
      </c>
      <c r="E4" s="8" t="s">
        <v>146</v>
      </c>
      <c r="F4" s="1" t="s">
        <v>152</v>
      </c>
    </row>
    <row r="5" spans="1:7">
      <c r="A5" s="1" t="s">
        <v>150</v>
      </c>
      <c r="B5" s="7" t="s">
        <v>27</v>
      </c>
      <c r="C5" s="7">
        <v>9.99</v>
      </c>
      <c r="D5" s="7" t="s">
        <v>28</v>
      </c>
      <c r="E5" s="7">
        <v>19.989999999999998</v>
      </c>
      <c r="F5" s="2">
        <v>44.99</v>
      </c>
      <c r="G5" s="8"/>
    </row>
    <row r="6" spans="1:7">
      <c r="B6" s="7" t="s">
        <v>62</v>
      </c>
      <c r="C6" s="7">
        <v>7.97</v>
      </c>
      <c r="D6" s="7" t="s">
        <v>29</v>
      </c>
      <c r="E6" s="7">
        <v>18.989999999999998</v>
      </c>
      <c r="F6" s="2">
        <v>49.99</v>
      </c>
      <c r="G6" s="8"/>
    </row>
    <row r="7" spans="1:7">
      <c r="A7" s="6"/>
      <c r="B7" s="3" t="s">
        <v>154</v>
      </c>
      <c r="C7" s="3">
        <v>5.99</v>
      </c>
      <c r="D7" s="7" t="s">
        <v>61</v>
      </c>
      <c r="E7" s="7">
        <v>18.989999999999998</v>
      </c>
      <c r="F7" s="2"/>
    </row>
    <row r="8" spans="1:7">
      <c r="A8" s="10"/>
      <c r="D8" s="7" t="s">
        <v>81</v>
      </c>
      <c r="E8" s="7">
        <v>16.989999999999998</v>
      </c>
      <c r="F8" s="2"/>
    </row>
    <row r="9" spans="1:7">
      <c r="A9" s="102"/>
      <c r="B9" s="4"/>
      <c r="C9" s="4"/>
      <c r="D9" s="19" t="s">
        <v>153</v>
      </c>
      <c r="E9" s="19"/>
      <c r="F9" s="55">
        <v>43.99</v>
      </c>
    </row>
    <row r="10" spans="1:7">
      <c r="A10" s="10"/>
      <c r="D10" s="7"/>
      <c r="E10" s="7"/>
      <c r="F10" s="3"/>
    </row>
    <row r="11" spans="1:7">
      <c r="A11" s="10"/>
      <c r="B11" s="10"/>
      <c r="F11" s="8" t="s">
        <v>106</v>
      </c>
    </row>
    <row r="12" spans="1:7">
      <c r="A12" s="6" t="s">
        <v>108</v>
      </c>
      <c r="B12" s="8" t="s">
        <v>109</v>
      </c>
      <c r="C12" s="8" t="s">
        <v>117</v>
      </c>
      <c r="D12" s="8" t="s">
        <v>118</v>
      </c>
      <c r="E12" s="8" t="s">
        <v>119</v>
      </c>
      <c r="F12" s="8" t="s">
        <v>107</v>
      </c>
    </row>
    <row r="13" spans="1:7">
      <c r="A13" s="6" t="s">
        <v>110</v>
      </c>
      <c r="B13" s="2" t="s">
        <v>40</v>
      </c>
      <c r="C13" s="11">
        <v>7.99</v>
      </c>
      <c r="D13" s="17">
        <f>SUM(74.96/96)</f>
        <v>0.78083333333333327</v>
      </c>
      <c r="E13" s="7"/>
    </row>
    <row r="14" spans="1:7">
      <c r="A14" s="13" t="s">
        <v>116</v>
      </c>
      <c r="B14" s="13"/>
      <c r="C14" s="23">
        <f>SUM(25*C13)</f>
        <v>199.75</v>
      </c>
      <c r="D14" s="18">
        <f>SUM(D13*150)</f>
        <v>117.12499999999999</v>
      </c>
      <c r="E14" s="53">
        <f>SUM(C14:D14)</f>
        <v>316.875</v>
      </c>
    </row>
    <row r="15" spans="1:7">
      <c r="A15" s="50" t="s">
        <v>77</v>
      </c>
      <c r="B15" s="50"/>
      <c r="C15" s="19">
        <f>SUM(25*5)</f>
        <v>125</v>
      </c>
      <c r="D15" s="56">
        <v>150</v>
      </c>
      <c r="E15" s="20">
        <f>SUM(C15:D15)</f>
        <v>275</v>
      </c>
      <c r="F15" s="55">
        <f>SUM(E15/50)</f>
        <v>5.5</v>
      </c>
    </row>
    <row r="16" spans="1:7">
      <c r="A16" s="13"/>
      <c r="B16" s="13"/>
      <c r="C16" s="15"/>
      <c r="D16" s="27"/>
      <c r="E16" s="15"/>
      <c r="F16" s="52"/>
    </row>
    <row r="17" spans="1:8">
      <c r="A17" s="13" t="s">
        <v>108</v>
      </c>
      <c r="B17" s="15" t="s">
        <v>44</v>
      </c>
      <c r="C17" s="15" t="s">
        <v>124</v>
      </c>
      <c r="D17" s="27" t="s">
        <v>113</v>
      </c>
      <c r="E17" s="15"/>
      <c r="F17" s="52"/>
    </row>
    <row r="18" spans="1:8">
      <c r="A18" s="13" t="s">
        <v>116</v>
      </c>
      <c r="B18" s="13"/>
      <c r="C18" s="15">
        <f>SUM(29*C13)</f>
        <v>231.71</v>
      </c>
      <c r="D18" s="54">
        <f>SUM(170*D13)</f>
        <v>132.74166666666665</v>
      </c>
      <c r="E18" s="53">
        <f>SUM(C18:D18)</f>
        <v>364.45166666666665</v>
      </c>
      <c r="F18" s="52"/>
    </row>
    <row r="19" spans="1:8">
      <c r="A19" s="50" t="s">
        <v>77</v>
      </c>
      <c r="B19" s="4"/>
      <c r="C19" s="19">
        <v>145</v>
      </c>
      <c r="D19" s="56">
        <v>170</v>
      </c>
      <c r="E19" s="55">
        <f>SUM(C19+D19)</f>
        <v>315</v>
      </c>
      <c r="F19" s="55">
        <f t="shared" ref="F19" si="0">SUM(E19/50)</f>
        <v>6.3</v>
      </c>
    </row>
    <row r="20" spans="1:8">
      <c r="A20" s="13"/>
      <c r="B20" s="13"/>
      <c r="C20" s="15"/>
      <c r="D20" s="27"/>
      <c r="E20" s="15"/>
      <c r="F20" s="51"/>
    </row>
    <row r="21" spans="1:8">
      <c r="A21" s="13" t="s">
        <v>108</v>
      </c>
      <c r="B21" s="15" t="s">
        <v>114</v>
      </c>
      <c r="C21" s="15" t="s">
        <v>126</v>
      </c>
      <c r="D21" s="27" t="s">
        <v>115</v>
      </c>
      <c r="E21" s="15"/>
      <c r="F21" s="52"/>
    </row>
    <row r="22" spans="1:8">
      <c r="A22" s="13" t="s">
        <v>116</v>
      </c>
      <c r="B22" s="13"/>
      <c r="C22" s="15">
        <f>+SUM(34*C13)</f>
        <v>271.66000000000003</v>
      </c>
      <c r="D22" s="54">
        <f>SUM(190*D13)</f>
        <v>148.35833333333332</v>
      </c>
      <c r="E22" s="53">
        <f>SUM(C22:D22)</f>
        <v>420.01833333333332</v>
      </c>
      <c r="F22" s="52"/>
    </row>
    <row r="23" spans="1:8" ht="15" thickBot="1">
      <c r="A23" s="57" t="s">
        <v>77</v>
      </c>
      <c r="B23" s="58"/>
      <c r="C23" s="59">
        <v>170</v>
      </c>
      <c r="D23" s="60">
        <v>190</v>
      </c>
      <c r="E23" s="61">
        <f>SUM(C23+D23)</f>
        <v>360</v>
      </c>
      <c r="F23" s="61">
        <f t="shared" ref="F23" si="1">SUM(E23/50)</f>
        <v>7.2</v>
      </c>
      <c r="H23" t="s">
        <v>8</v>
      </c>
    </row>
    <row r="24" spans="1:8">
      <c r="A24" s="13"/>
      <c r="B24" s="13"/>
      <c r="C24" s="15"/>
      <c r="D24" s="27"/>
      <c r="E24" s="15"/>
      <c r="F24" s="51"/>
    </row>
    <row r="25" spans="1:8">
      <c r="A25" s="13"/>
      <c r="B25" s="13"/>
      <c r="C25" s="15"/>
      <c r="D25" s="27"/>
      <c r="E25" s="15"/>
      <c r="F25" s="51"/>
    </row>
    <row r="26" spans="1:8" ht="15.6">
      <c r="A26" s="62" t="s">
        <v>128</v>
      </c>
      <c r="B26" s="13"/>
      <c r="C26" s="15"/>
      <c r="D26" s="27"/>
      <c r="E26" s="15"/>
      <c r="F26" s="51"/>
    </row>
    <row r="27" spans="1:8">
      <c r="A27" s="6"/>
      <c r="B27" s="8" t="s">
        <v>109</v>
      </c>
      <c r="C27" s="8" t="s">
        <v>121</v>
      </c>
      <c r="D27" s="8" t="s">
        <v>120</v>
      </c>
      <c r="E27" s="8" t="s">
        <v>119</v>
      </c>
      <c r="F27" s="8" t="s">
        <v>107</v>
      </c>
    </row>
    <row r="28" spans="1:8">
      <c r="A28" s="6" t="s">
        <v>110</v>
      </c>
      <c r="B28" s="2" t="s">
        <v>40</v>
      </c>
      <c r="C28" s="11">
        <f>SUM(C13)</f>
        <v>7.99</v>
      </c>
      <c r="D28" s="17">
        <f>SUM(74.96/96)</f>
        <v>0.78083333333333327</v>
      </c>
      <c r="E28" s="7"/>
      <c r="G28" s="51"/>
    </row>
    <row r="29" spans="1:8">
      <c r="A29" s="13" t="s">
        <v>116</v>
      </c>
      <c r="B29" s="13"/>
      <c r="C29" s="23">
        <f>SUM(50*C28)</f>
        <v>399.5</v>
      </c>
      <c r="D29" s="18">
        <f>SUM(D28*300)</f>
        <v>234.24999999999997</v>
      </c>
      <c r="E29" s="53">
        <f>SUM(C29:D29)</f>
        <v>633.75</v>
      </c>
    </row>
    <row r="30" spans="1:8">
      <c r="A30" s="50" t="s">
        <v>77</v>
      </c>
      <c r="B30" s="50"/>
      <c r="C30" s="19">
        <v>250</v>
      </c>
      <c r="D30" s="56">
        <v>300</v>
      </c>
      <c r="E30" s="20">
        <f>SUM(C30:D30)</f>
        <v>550</v>
      </c>
      <c r="F30" s="55">
        <f>SUM(E30/100)</f>
        <v>5.5</v>
      </c>
    </row>
    <row r="31" spans="1:8">
      <c r="A31" s="13"/>
      <c r="B31" s="13"/>
      <c r="C31" s="15"/>
      <c r="D31" s="27"/>
      <c r="E31" s="15"/>
      <c r="F31" s="52"/>
    </row>
    <row r="32" spans="1:8">
      <c r="A32" s="13" t="s">
        <v>57</v>
      </c>
      <c r="B32" s="15" t="s">
        <v>44</v>
      </c>
      <c r="C32" s="15" t="s">
        <v>125</v>
      </c>
      <c r="D32" s="27" t="s">
        <v>127</v>
      </c>
      <c r="E32" s="15"/>
      <c r="F32" s="52"/>
    </row>
    <row r="33" spans="1:6">
      <c r="A33" s="13" t="s">
        <v>116</v>
      </c>
      <c r="B33" s="13"/>
      <c r="C33" s="14">
        <f>SUM(60*C28)</f>
        <v>479.40000000000003</v>
      </c>
      <c r="D33" s="18">
        <f>SUM(340*D28)</f>
        <v>265.48333333333329</v>
      </c>
      <c r="E33" s="53">
        <f>SUM(C33:D33)</f>
        <v>744.88333333333333</v>
      </c>
      <c r="F33" s="52"/>
    </row>
    <row r="34" spans="1:6">
      <c r="A34" s="50" t="s">
        <v>77</v>
      </c>
      <c r="B34" s="4"/>
      <c r="C34" s="19">
        <v>300</v>
      </c>
      <c r="D34" s="56">
        <v>340</v>
      </c>
      <c r="E34" s="55">
        <f>SUM(C34+D34)</f>
        <v>640</v>
      </c>
      <c r="F34" s="55">
        <f>SUM(E34/100)</f>
        <v>6.4</v>
      </c>
    </row>
    <row r="35" spans="1:6">
      <c r="A35" s="13"/>
      <c r="B35" s="13"/>
      <c r="C35" s="15"/>
      <c r="D35" s="27"/>
      <c r="E35" s="15"/>
      <c r="F35" s="51"/>
    </row>
    <row r="36" spans="1:6">
      <c r="A36" s="13" t="s">
        <v>57</v>
      </c>
      <c r="B36" s="15" t="s">
        <v>114</v>
      </c>
      <c r="C36" s="15" t="s">
        <v>122</v>
      </c>
      <c r="D36" s="27" t="s">
        <v>123</v>
      </c>
      <c r="E36" s="15"/>
      <c r="F36" s="52"/>
    </row>
    <row r="37" spans="1:6">
      <c r="A37" s="13" t="s">
        <v>116</v>
      </c>
      <c r="B37" s="13"/>
      <c r="C37" s="23">
        <f>+SUM(70*C28)</f>
        <v>559.30000000000007</v>
      </c>
      <c r="D37" s="18">
        <f>SUM(370*D28)</f>
        <v>288.9083333333333</v>
      </c>
      <c r="E37" s="53">
        <f>SUM(C37:D37)</f>
        <v>848.20833333333337</v>
      </c>
      <c r="F37" s="52"/>
    </row>
    <row r="38" spans="1:6" ht="15" thickBot="1">
      <c r="A38" s="57" t="s">
        <v>77</v>
      </c>
      <c r="B38" s="58"/>
      <c r="C38" s="59">
        <v>350</v>
      </c>
      <c r="D38" s="60">
        <v>370</v>
      </c>
      <c r="E38" s="61">
        <f>SUM(C38+D38)</f>
        <v>720</v>
      </c>
      <c r="F38" s="61">
        <f>SUM(E38/100)</f>
        <v>7.2</v>
      </c>
    </row>
    <row r="39" spans="1:6">
      <c r="A39" s="13"/>
      <c r="B39" s="24"/>
      <c r="C39" s="14"/>
      <c r="D39" s="101"/>
      <c r="E39" s="52"/>
      <c r="F39" s="52"/>
    </row>
    <row r="40" spans="1:6">
      <c r="D40" s="7"/>
      <c r="E40" s="7"/>
      <c r="F40" s="3"/>
    </row>
    <row r="41" spans="1:6" ht="15.6">
      <c r="A41" s="62" t="s">
        <v>129</v>
      </c>
      <c r="B41" s="13"/>
      <c r="C41" s="15"/>
      <c r="D41" s="27"/>
      <c r="E41" s="15"/>
      <c r="F41" s="51"/>
    </row>
    <row r="42" spans="1:6">
      <c r="A42" s="6"/>
      <c r="B42" s="8" t="s">
        <v>109</v>
      </c>
      <c r="C42" s="8" t="s">
        <v>131</v>
      </c>
      <c r="D42" s="8" t="s">
        <v>132</v>
      </c>
      <c r="E42" s="8" t="s">
        <v>119</v>
      </c>
      <c r="F42" s="8" t="s">
        <v>107</v>
      </c>
    </row>
    <row r="43" spans="1:6">
      <c r="A43" s="6" t="s">
        <v>110</v>
      </c>
      <c r="B43" s="2" t="s">
        <v>40</v>
      </c>
      <c r="C43" s="11">
        <v>7.99</v>
      </c>
      <c r="D43" s="17">
        <f>SUM(74.96/96)</f>
        <v>0.78083333333333327</v>
      </c>
      <c r="E43" s="7"/>
    </row>
    <row r="44" spans="1:6">
      <c r="A44" s="13" t="s">
        <v>116</v>
      </c>
      <c r="B44" s="13"/>
      <c r="C44" s="23">
        <f>SUM(60*C43)</f>
        <v>479.40000000000003</v>
      </c>
      <c r="D44" s="18">
        <f>SUM(D43*375)</f>
        <v>292.8125</v>
      </c>
      <c r="E44" s="53">
        <f>SUM(C44:D44)</f>
        <v>772.21250000000009</v>
      </c>
    </row>
    <row r="45" spans="1:6">
      <c r="A45" s="50" t="s">
        <v>77</v>
      </c>
      <c r="B45" s="50"/>
      <c r="C45" s="19">
        <v>300</v>
      </c>
      <c r="D45" s="56">
        <v>375</v>
      </c>
      <c r="E45" s="20">
        <f>SUM(C45:D45)</f>
        <v>675</v>
      </c>
      <c r="F45" s="69">
        <f>SUM(E45/125)</f>
        <v>5.4</v>
      </c>
    </row>
    <row r="46" spans="1:6">
      <c r="A46" s="63"/>
      <c r="B46" s="63"/>
      <c r="C46" s="64"/>
      <c r="D46" s="65"/>
      <c r="E46" s="64"/>
      <c r="F46" s="66"/>
    </row>
    <row r="47" spans="1:6">
      <c r="A47" s="77" t="s">
        <v>130</v>
      </c>
      <c r="B47" s="70" t="s">
        <v>44</v>
      </c>
      <c r="C47" s="70" t="s">
        <v>134</v>
      </c>
      <c r="D47" s="73" t="s">
        <v>133</v>
      </c>
      <c r="E47" s="64"/>
      <c r="F47" s="66"/>
    </row>
    <row r="48" spans="1:6">
      <c r="A48" s="77" t="s">
        <v>116</v>
      </c>
      <c r="B48" s="77"/>
      <c r="C48" s="71">
        <f>SUM(72*C43)</f>
        <v>575.28</v>
      </c>
      <c r="D48" s="74">
        <f>SUM(440*D43)</f>
        <v>343.56666666666666</v>
      </c>
      <c r="E48" s="76">
        <f>SUM(C48:D48)</f>
        <v>918.84666666666658</v>
      </c>
      <c r="F48" s="66"/>
    </row>
    <row r="49" spans="1:6">
      <c r="A49" s="78" t="s">
        <v>77</v>
      </c>
      <c r="B49" s="79"/>
      <c r="C49" s="72">
        <v>360</v>
      </c>
      <c r="D49" s="75">
        <v>440</v>
      </c>
      <c r="E49" s="69">
        <f>SUM(C49+D49)</f>
        <v>800</v>
      </c>
      <c r="F49" s="69">
        <f>SUM(E49/125)</f>
        <v>6.4</v>
      </c>
    </row>
    <row r="50" spans="1:6">
      <c r="A50" s="63"/>
      <c r="B50" s="63"/>
      <c r="C50" s="64"/>
      <c r="D50" s="65"/>
      <c r="E50" s="64"/>
      <c r="F50" s="68"/>
    </row>
    <row r="51" spans="1:6">
      <c r="A51" s="77" t="s">
        <v>130</v>
      </c>
      <c r="B51" s="70" t="s">
        <v>114</v>
      </c>
      <c r="C51" s="70" t="s">
        <v>135</v>
      </c>
      <c r="D51" s="73" t="s">
        <v>136</v>
      </c>
      <c r="E51" s="64"/>
      <c r="F51" s="66"/>
    </row>
    <row r="52" spans="1:6">
      <c r="A52" s="77" t="s">
        <v>116</v>
      </c>
      <c r="B52" s="77"/>
      <c r="C52" s="80">
        <f>+SUM(84*C43)</f>
        <v>671.16</v>
      </c>
      <c r="D52" s="74">
        <f>SUM(490*D43)</f>
        <v>382.60833333333329</v>
      </c>
      <c r="E52" s="76">
        <f>SUM(C52:D52)</f>
        <v>1053.7683333333332</v>
      </c>
      <c r="F52" s="66"/>
    </row>
    <row r="53" spans="1:6" ht="15" thickBot="1">
      <c r="A53" s="82" t="s">
        <v>77</v>
      </c>
      <c r="B53" s="83"/>
      <c r="C53" s="84">
        <v>420</v>
      </c>
      <c r="D53" s="85">
        <v>490</v>
      </c>
      <c r="E53" s="86">
        <f>SUM(C53+D53)</f>
        <v>910</v>
      </c>
      <c r="F53" s="86">
        <f>SUM(E53/125)</f>
        <v>7.28</v>
      </c>
    </row>
    <row r="54" spans="1:6">
      <c r="B54" s="6"/>
      <c r="C54" s="6"/>
      <c r="F54" s="7"/>
    </row>
    <row r="55" spans="1:6">
      <c r="B55" s="6"/>
      <c r="C55" s="6"/>
      <c r="F55" s="7"/>
    </row>
    <row r="56" spans="1:6" ht="15.6">
      <c r="A56" s="87" t="s">
        <v>137</v>
      </c>
      <c r="B56" s="63"/>
      <c r="C56" s="64"/>
      <c r="D56" s="65"/>
      <c r="E56" s="64"/>
      <c r="F56" s="68"/>
    </row>
    <row r="57" spans="1:6">
      <c r="A57" s="81"/>
      <c r="B57" s="88" t="s">
        <v>109</v>
      </c>
      <c r="C57" s="88" t="s">
        <v>139</v>
      </c>
      <c r="D57" s="88" t="s">
        <v>140</v>
      </c>
      <c r="E57" s="88" t="s">
        <v>119</v>
      </c>
      <c r="F57" s="88" t="s">
        <v>107</v>
      </c>
    </row>
    <row r="58" spans="1:6">
      <c r="A58" s="99" t="s">
        <v>110</v>
      </c>
      <c r="B58" s="98" t="s">
        <v>40</v>
      </c>
      <c r="C58" s="94">
        <f>SUM(C13)</f>
        <v>7.99</v>
      </c>
      <c r="D58" s="95">
        <f>SUM(74.96/96)</f>
        <v>0.78083333333333327</v>
      </c>
      <c r="E58" s="96"/>
      <c r="F58" s="89"/>
    </row>
    <row r="59" spans="1:6">
      <c r="A59" s="77" t="s">
        <v>116</v>
      </c>
      <c r="B59" s="77"/>
      <c r="C59" s="80">
        <f>SUM(75*C58)</f>
        <v>599.25</v>
      </c>
      <c r="D59" s="74">
        <f>SUM(D58*450)</f>
        <v>351.37499999999994</v>
      </c>
      <c r="E59" s="76">
        <f>SUM(C59:D59)</f>
        <v>950.625</v>
      </c>
      <c r="F59" s="89"/>
    </row>
    <row r="60" spans="1:6">
      <c r="A60" s="78" t="s">
        <v>77</v>
      </c>
      <c r="B60" s="78"/>
      <c r="C60" s="72">
        <v>375</v>
      </c>
      <c r="D60" s="75">
        <v>450</v>
      </c>
      <c r="E60" s="97">
        <f>SUM(C60:D60)</f>
        <v>825</v>
      </c>
      <c r="F60" s="69">
        <f>SUM(E60/150)</f>
        <v>5.5</v>
      </c>
    </row>
    <row r="61" spans="1:6">
      <c r="A61" s="77"/>
      <c r="B61" s="77"/>
      <c r="C61" s="64"/>
      <c r="D61" s="65"/>
      <c r="E61" s="70"/>
      <c r="F61" s="90"/>
    </row>
    <row r="62" spans="1:6">
      <c r="A62" s="77" t="s">
        <v>138</v>
      </c>
      <c r="B62" s="70" t="s">
        <v>44</v>
      </c>
      <c r="C62" s="70" t="s">
        <v>143</v>
      </c>
      <c r="D62" s="73" t="s">
        <v>141</v>
      </c>
      <c r="E62" s="70"/>
      <c r="F62" s="90"/>
    </row>
    <row r="63" spans="1:6">
      <c r="A63" s="77" t="s">
        <v>116</v>
      </c>
      <c r="B63" s="77"/>
      <c r="C63" s="80">
        <f>SUM(90*C58)</f>
        <v>719.1</v>
      </c>
      <c r="D63" s="74">
        <f>SUM(510*D58)</f>
        <v>398.22499999999997</v>
      </c>
      <c r="E63" s="76">
        <f>SUM(C63:D63)</f>
        <v>1117.325</v>
      </c>
      <c r="F63" s="90"/>
    </row>
    <row r="64" spans="1:6">
      <c r="A64" s="78" t="s">
        <v>77</v>
      </c>
      <c r="B64" s="79"/>
      <c r="C64" s="72">
        <v>450</v>
      </c>
      <c r="D64" s="75">
        <v>510</v>
      </c>
      <c r="E64" s="69">
        <f>SUM(C64+D64)</f>
        <v>960</v>
      </c>
      <c r="F64" s="91">
        <f>SUM(E64/150)</f>
        <v>6.4</v>
      </c>
    </row>
    <row r="65" spans="1:6">
      <c r="A65" s="77"/>
      <c r="B65" s="77"/>
      <c r="C65" s="64"/>
      <c r="D65" s="65"/>
      <c r="E65" s="64"/>
      <c r="F65" s="92"/>
    </row>
    <row r="66" spans="1:6">
      <c r="A66" s="77" t="s">
        <v>138</v>
      </c>
      <c r="B66" s="70" t="s">
        <v>114</v>
      </c>
      <c r="C66" s="70" t="s">
        <v>144</v>
      </c>
      <c r="D66" s="73" t="s">
        <v>142</v>
      </c>
      <c r="E66" s="64"/>
      <c r="F66" s="90"/>
    </row>
    <row r="67" spans="1:6">
      <c r="A67" s="77" t="s">
        <v>116</v>
      </c>
      <c r="B67" s="63"/>
      <c r="C67" s="80">
        <f>+SUM(105*C58)</f>
        <v>838.95</v>
      </c>
      <c r="D67" s="74">
        <f>SUM(570*D58)</f>
        <v>445.07499999999999</v>
      </c>
      <c r="E67" s="76">
        <f>SUM(C67:D67)</f>
        <v>1284.0250000000001</v>
      </c>
      <c r="F67" s="90"/>
    </row>
    <row r="68" spans="1:6">
      <c r="A68" s="78" t="s">
        <v>77</v>
      </c>
      <c r="B68" s="67"/>
      <c r="C68" s="72">
        <v>525</v>
      </c>
      <c r="D68" s="75">
        <v>570</v>
      </c>
      <c r="E68" s="69">
        <f>SUM(C68+D68)</f>
        <v>1095</v>
      </c>
      <c r="F68" s="100">
        <f>SUM(E68/150)</f>
        <v>7.3</v>
      </c>
    </row>
    <row r="69" spans="1:6">
      <c r="B69" s="6"/>
      <c r="C69" s="6"/>
      <c r="D69" s="12"/>
      <c r="E69" s="12"/>
      <c r="F69" s="93"/>
    </row>
    <row r="70" spans="1:6">
      <c r="A70" s="22" t="s">
        <v>148</v>
      </c>
      <c r="B70" s="22"/>
      <c r="C70" s="10"/>
      <c r="D70" s="10"/>
      <c r="E70" s="10"/>
    </row>
    <row r="71" spans="1:6">
      <c r="A71" s="9" t="s">
        <v>70</v>
      </c>
      <c r="B71" s="22"/>
      <c r="C71" s="10"/>
      <c r="D71" s="10"/>
      <c r="E71" s="10"/>
    </row>
    <row r="72" spans="1:6">
      <c r="A72" s="22" t="s">
        <v>71</v>
      </c>
      <c r="B72" s="22"/>
      <c r="C72" s="10"/>
      <c r="D72" s="10"/>
      <c r="E72" s="10"/>
    </row>
    <row r="73" spans="1:6">
      <c r="A73" s="22" t="s">
        <v>149</v>
      </c>
      <c r="B73" s="22"/>
      <c r="C73" s="10"/>
      <c r="D73" s="10"/>
      <c r="E73" s="10"/>
    </row>
    <row r="74" spans="1:6">
      <c r="A74" s="22" t="s">
        <v>164</v>
      </c>
      <c r="B74" s="22"/>
      <c r="C74" s="10"/>
      <c r="D74" s="10"/>
      <c r="E74" s="10"/>
    </row>
    <row r="75" spans="1:6">
      <c r="A75" s="22" t="s">
        <v>72</v>
      </c>
      <c r="B75" s="22"/>
      <c r="C75" s="10"/>
      <c r="D75" s="10"/>
      <c r="E75" s="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Davidauer</dc:creator>
  <cp:lastModifiedBy>Davidauer</cp:lastModifiedBy>
  <cp:lastPrinted>2021-03-11T15:58:24Z</cp:lastPrinted>
  <dcterms:created xsi:type="dcterms:W3CDTF">2020-12-12T16:04:07Z</dcterms:created>
  <dcterms:modified xsi:type="dcterms:W3CDTF">2021-04-23T16:23:41Z</dcterms:modified>
</cp:coreProperties>
</file>