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4" i="3"/>
  <c r="C74"/>
  <c r="D70"/>
  <c r="C70"/>
  <c r="D66"/>
  <c r="C66"/>
  <c r="D60"/>
  <c r="C60"/>
  <c r="D56"/>
  <c r="C56"/>
  <c r="D52"/>
  <c r="D46"/>
  <c r="C46"/>
  <c r="D43"/>
  <c r="C43"/>
  <c r="D39"/>
  <c r="C39"/>
  <c r="D33"/>
  <c r="D29"/>
  <c r="D25"/>
  <c r="F30"/>
  <c r="C33"/>
  <c r="C29"/>
  <c r="C25"/>
  <c r="D20"/>
  <c r="C20"/>
  <c r="D16"/>
  <c r="C16"/>
  <c r="D12"/>
  <c r="E34"/>
  <c r="F34" s="1"/>
  <c r="E30"/>
  <c r="E26"/>
  <c r="F26" s="1"/>
  <c r="D24"/>
  <c r="C12"/>
  <c r="E13"/>
  <c r="F13" s="1"/>
  <c r="E33" i="2"/>
  <c r="E34"/>
  <c r="F34" s="1"/>
  <c r="G34" s="1"/>
  <c r="E32"/>
  <c r="C32"/>
  <c r="C65" i="3"/>
  <c r="C38"/>
  <c r="E75"/>
  <c r="F75" s="1"/>
  <c r="E71"/>
  <c r="F71" s="1"/>
  <c r="E67"/>
  <c r="F67" s="1"/>
  <c r="D65"/>
  <c r="C52"/>
  <c r="E61"/>
  <c r="F61" s="1"/>
  <c r="E57"/>
  <c r="F57" s="1"/>
  <c r="E53"/>
  <c r="F53" s="1"/>
  <c r="D51"/>
  <c r="E47"/>
  <c r="F47" s="1"/>
  <c r="E44"/>
  <c r="F44" s="1"/>
  <c r="E40"/>
  <c r="F40" s="1"/>
  <c r="D38"/>
  <c r="E21"/>
  <c r="F21" s="1"/>
  <c r="E17"/>
  <c r="F17" s="1"/>
  <c r="D11"/>
  <c r="E30" i="2"/>
  <c r="F30" s="1"/>
  <c r="G30" s="1"/>
  <c r="E29"/>
  <c r="F29" s="1"/>
  <c r="G29" s="1"/>
  <c r="I29"/>
  <c r="I28"/>
  <c r="C28"/>
  <c r="I30"/>
  <c r="I34"/>
  <c r="I26"/>
  <c r="F26"/>
  <c r="G26" s="1"/>
  <c r="I22"/>
  <c r="F22"/>
  <c r="G22" s="1"/>
  <c r="I21"/>
  <c r="I24"/>
  <c r="I25"/>
  <c r="I32"/>
  <c r="I33"/>
  <c r="I20"/>
  <c r="E24"/>
  <c r="D24" s="1"/>
  <c r="E20"/>
  <c r="D20" s="1"/>
  <c r="F21"/>
  <c r="G21" s="1"/>
  <c r="C24"/>
  <c r="F25"/>
  <c r="G25" s="1"/>
  <c r="C20"/>
  <c r="E25" i="3" l="1"/>
  <c r="E29"/>
  <c r="E33"/>
  <c r="E60"/>
  <c r="E52"/>
  <c r="E66"/>
  <c r="E70"/>
  <c r="E16"/>
  <c r="E56"/>
  <c r="E20"/>
  <c r="E39"/>
  <c r="E12"/>
  <c r="F28" i="2"/>
  <c r="G28" s="1"/>
  <c r="F20"/>
  <c r="G20" s="1"/>
  <c r="I11" i="1"/>
  <c r="I12" s="1"/>
  <c r="I44"/>
  <c r="I41"/>
  <c r="J18"/>
  <c r="H18"/>
  <c r="J13"/>
  <c r="H44"/>
  <c r="H41"/>
  <c r="H31"/>
  <c r="I31"/>
  <c r="I28"/>
  <c r="H28"/>
  <c r="H17"/>
  <c r="H12"/>
  <c r="J44"/>
  <c r="E74" i="3" l="1"/>
  <c r="E46"/>
  <c r="E43"/>
  <c r="I17" i="1"/>
  <c r="J41"/>
  <c r="J17"/>
  <c r="J31"/>
  <c r="J28"/>
  <c r="J12"/>
  <c r="F32" i="2"/>
  <c r="G32" s="1"/>
  <c r="F33"/>
  <c r="G33" s="1"/>
  <c r="F24"/>
  <c r="G24" s="1"/>
</calcChain>
</file>

<file path=xl/sharedStrings.xml><?xml version="1.0" encoding="utf-8"?>
<sst xmlns="http://schemas.openxmlformats.org/spreadsheetml/2006/main" count="301" uniqueCount="187">
  <si>
    <t>Vodka</t>
  </si>
  <si>
    <t>Gin</t>
  </si>
  <si>
    <t>Rum</t>
  </si>
  <si>
    <t xml:space="preserve">Tequila </t>
  </si>
  <si>
    <t>Whiskey</t>
  </si>
  <si>
    <t>Bourbon</t>
  </si>
  <si>
    <t>Step Up</t>
  </si>
  <si>
    <t>Premium</t>
  </si>
  <si>
    <t>Wine</t>
  </si>
  <si>
    <t>Beer</t>
  </si>
  <si>
    <t>Basic Pkg.</t>
  </si>
  <si>
    <t xml:space="preserve"> </t>
  </si>
  <si>
    <t>Smirnoff</t>
  </si>
  <si>
    <t>Svedka</t>
  </si>
  <si>
    <t>Skyy</t>
  </si>
  <si>
    <t>Choose from:</t>
  </si>
  <si>
    <t>Stolichaya</t>
  </si>
  <si>
    <t>Tito's</t>
  </si>
  <si>
    <t>Ketel One</t>
  </si>
  <si>
    <t>Grey Goose</t>
  </si>
  <si>
    <t>Belevedere</t>
  </si>
  <si>
    <t>Gibleys</t>
  </si>
  <si>
    <t>Gordons</t>
  </si>
  <si>
    <t>Bacardi Superior</t>
  </si>
  <si>
    <t>Bacardi Gold</t>
  </si>
  <si>
    <t>Cruzan Aged Dark</t>
  </si>
  <si>
    <t>Canadian Club</t>
  </si>
  <si>
    <t>Seagrams VO</t>
  </si>
  <si>
    <t>Evan Williams</t>
  </si>
  <si>
    <t>Jim Beam</t>
  </si>
  <si>
    <t>Firebrand Cabernet</t>
  </si>
  <si>
    <t>Budweiser</t>
  </si>
  <si>
    <t>Bud Light</t>
  </si>
  <si>
    <t>Approx</t>
  </si>
  <si>
    <t>Total $</t>
  </si>
  <si>
    <t>Price per bottle</t>
  </si>
  <si>
    <t>Beefeaters</t>
  </si>
  <si>
    <t>Captain Morgan Spiced</t>
  </si>
  <si>
    <t>Malibu Coconut</t>
  </si>
  <si>
    <t>1800 Silver</t>
  </si>
  <si>
    <t>Jack Daniels</t>
  </si>
  <si>
    <t>Jameson Irish</t>
  </si>
  <si>
    <t>Makers Mark</t>
  </si>
  <si>
    <t>Rodney Strong Cabernet</t>
  </si>
  <si>
    <t>3hrs.</t>
  </si>
  <si>
    <t>Modelo Especial</t>
  </si>
  <si>
    <t>Heineken</t>
  </si>
  <si>
    <t>1 - 1.75ml</t>
  </si>
  <si>
    <t>4hrs.</t>
  </si>
  <si>
    <t>Choose From:</t>
  </si>
  <si>
    <t>Bombay Sapphire</t>
  </si>
  <si>
    <t>Tangueray</t>
  </si>
  <si>
    <t>Mount Gay</t>
  </si>
  <si>
    <t>Goslings Black</t>
  </si>
  <si>
    <t>Patron Silver</t>
  </si>
  <si>
    <t>Casamigos Blanco</t>
  </si>
  <si>
    <t>1 - 750ml</t>
  </si>
  <si>
    <t>Woodford Reserve</t>
  </si>
  <si>
    <t>Bulleit Bourbon</t>
  </si>
  <si>
    <t>Stags Leap Merlot</t>
  </si>
  <si>
    <t>Corona Light</t>
  </si>
  <si>
    <t>100 guests</t>
  </si>
  <si>
    <t>100 guest</t>
  </si>
  <si>
    <t>40 - 750ml</t>
  </si>
  <si>
    <t>50 - 750ml</t>
  </si>
  <si>
    <t>Yuengling Lager</t>
  </si>
  <si>
    <t>Chateau Ste. Michelle Chard.</t>
  </si>
  <si>
    <t>Bread and Butter Chard.</t>
  </si>
  <si>
    <t>Duckhorn Chard.</t>
  </si>
  <si>
    <t>Michelob Ultra</t>
  </si>
  <si>
    <t>Stella Artois</t>
  </si>
  <si>
    <t>2 - 1.75ml</t>
  </si>
  <si>
    <t>220 - 12oz.</t>
  </si>
  <si>
    <t>250 - 12oz.</t>
  </si>
  <si>
    <t>Alcohol calculator with approx. picing &amp; Qtys.</t>
  </si>
  <si>
    <t>*add 9% for SC alcohol tax</t>
  </si>
  <si>
    <t>*2% SC Hospitality tax is included in Charleston Cheers Bar Trailer Packages</t>
  </si>
  <si>
    <t>*Does not include Charleston Cheers Horse Trailer Bar</t>
  </si>
  <si>
    <t>Espolon Blanco</t>
  </si>
  <si>
    <t>Absolute</t>
  </si>
  <si>
    <t>Bombay Dry</t>
  </si>
  <si>
    <t>Bay Street Gold</t>
  </si>
  <si>
    <t>Total drinks</t>
  </si>
  <si>
    <t>120 - 12oz.</t>
  </si>
  <si>
    <t>150 - 12oz</t>
  </si>
  <si>
    <t>Truly Hard Seltzer</t>
  </si>
  <si>
    <t>Total cost</t>
  </si>
  <si>
    <t>* These are for example only. Your actual alcohol cost may be higher or lower based upon your selections</t>
  </si>
  <si>
    <t>Natural Light</t>
  </si>
  <si>
    <t xml:space="preserve">           “      1.5L</t>
  </si>
  <si>
    <t xml:space="preserve">       Wine - 750ml                    = 5 glasses</t>
  </si>
  <si>
    <t>Ordering Guidelines</t>
  </si>
  <si>
    <t>Number of guests</t>
  </si>
  <si>
    <t xml:space="preserve">  # of hours</t>
  </si>
  <si>
    <t>* Better to have too much than too little!</t>
  </si>
  <si>
    <t>Total #</t>
  </si>
  <si>
    <t>of drinks</t>
  </si>
  <si>
    <t># of drinks</t>
  </si>
  <si>
    <t>glasses of wine</t>
  </si>
  <si>
    <t xml:space="preserve"># of 5oz </t>
  </si>
  <si>
    <t>750ml</t>
  </si>
  <si>
    <t xml:space="preserve">      Wine bottles</t>
  </si>
  <si>
    <t># of 12oz. Beer</t>
  </si>
  <si>
    <t xml:space="preserve"> glasses/cans</t>
  </si>
  <si>
    <t># of 12oz</t>
  </si>
  <si>
    <t>Beers</t>
  </si>
  <si>
    <t>from 1/6 kegs</t>
  </si>
  <si>
    <t xml:space="preserve">If additional </t>
  </si>
  <si>
    <t xml:space="preserve">* Note: unopened beer and wine is available to be returned for full refund   </t>
  </si>
  <si>
    <r>
      <t xml:space="preserve">   however</t>
    </r>
    <r>
      <rPr>
        <b/>
        <u/>
        <sz val="11"/>
        <color theme="1"/>
        <rFont val="Calibri"/>
        <family val="2"/>
        <scheme val="minor"/>
      </rPr>
      <t xml:space="preserve"> cases</t>
    </r>
    <r>
      <rPr>
        <b/>
        <sz val="11"/>
        <color theme="1"/>
        <rFont val="Calibri"/>
        <family val="2"/>
        <scheme val="minor"/>
      </rPr>
      <t xml:space="preserve"> of beer need to be unopened and complete!</t>
    </r>
  </si>
  <si>
    <t>* It is less expensive to purchase 1.5L bottles of wine vs. 750ml bottles! In most cases if a 1.5L</t>
  </si>
  <si>
    <t xml:space="preserve">   of wine of your choice is available, will cut your number of bottles required in half, reducing cost! </t>
  </si>
  <si>
    <t xml:space="preserve">    = 10 glasses </t>
  </si>
  <si>
    <t>Drinks</t>
  </si>
  <si>
    <t>per guest</t>
  </si>
  <si>
    <t>50 guests</t>
  </si>
  <si>
    <t># of hours</t>
  </si>
  <si>
    <t>avg. Price per bottle</t>
  </si>
  <si>
    <t>Beer /wine suggestions</t>
  </si>
  <si>
    <t>Beer and Wine only estimated cost /quantity calcultions</t>
  </si>
  <si>
    <t>5hrs.</t>
  </si>
  <si>
    <t>Cost</t>
  </si>
  <si>
    <t>25 bottles of 750ml wine</t>
  </si>
  <si>
    <t>Total</t>
  </si>
  <si>
    <t>100 Guests</t>
  </si>
  <si>
    <t>125 Guests</t>
  </si>
  <si>
    <t>125 guests</t>
  </si>
  <si>
    <t>60 bottles of 750ml wine</t>
  </si>
  <si>
    <t>150 Guests</t>
  </si>
  <si>
    <t>150 guests</t>
  </si>
  <si>
    <t xml:space="preserve"> 12oz.</t>
  </si>
  <si>
    <t>Per case</t>
  </si>
  <si>
    <t>*These are for example only. Your actual alcohol cost may be higher or lower based upon your selections and desired qty. of your selections</t>
  </si>
  <si>
    <t>*Signature drinks if desired will vary based upon clients request</t>
  </si>
  <si>
    <t>Basic pkg. suggestions</t>
  </si>
  <si>
    <t>Cost per bottle</t>
  </si>
  <si>
    <t xml:space="preserve"> 55 - 12oz glasses</t>
  </si>
  <si>
    <t>Michelob Amber Bock</t>
  </si>
  <si>
    <t>Cavit Pino Grigio</t>
  </si>
  <si>
    <t># of</t>
  </si>
  <si>
    <t>1/6 Kegs</t>
  </si>
  <si>
    <t>beer needed</t>
  </si>
  <si>
    <t xml:space="preserve">       Beer – 1/6 keg barrel holds 55, 12oz. glasses</t>
  </si>
  <si>
    <t xml:space="preserve"> cases of</t>
  </si>
  <si>
    <r>
      <t xml:space="preserve">Suggested Wine and Beer </t>
    </r>
    <r>
      <rPr>
        <b/>
        <u/>
        <sz val="12"/>
        <color theme="1"/>
        <rFont val="Calibri"/>
        <family val="2"/>
        <scheme val="minor"/>
      </rPr>
      <t>guidelines</t>
    </r>
    <r>
      <rPr>
        <b/>
        <sz val="12"/>
        <color theme="1"/>
        <rFont val="Calibri"/>
        <family val="2"/>
        <scheme val="minor"/>
      </rPr>
      <t xml:space="preserve"> below with </t>
    </r>
    <r>
      <rPr>
        <b/>
        <u/>
        <sz val="12"/>
        <color theme="1"/>
        <rFont val="Calibri"/>
        <family val="2"/>
        <scheme val="minor"/>
      </rPr>
      <t>estimated qty.</t>
    </r>
    <r>
      <rPr>
        <b/>
        <sz val="12"/>
        <color theme="1"/>
        <rFont val="Calibri"/>
        <family val="2"/>
        <scheme val="minor"/>
      </rPr>
      <t xml:space="preserve"> calculations.</t>
    </r>
  </si>
  <si>
    <t>Each client group costs will vary based their alcohol preferences of wine qty. vs. beer.</t>
  </si>
  <si>
    <t>* 1/6 kegs range from approx. $50-120!</t>
  </si>
  <si>
    <t>*1/6 kegs range in cost from approx. $45-120</t>
  </si>
  <si>
    <t>Charleston Cheers</t>
  </si>
  <si>
    <t>750ml-Wine</t>
  </si>
  <si>
    <t xml:space="preserve">*add 9% for SC alcohol tax </t>
  </si>
  <si>
    <t>Dark Horse Pinot Noir</t>
  </si>
  <si>
    <t>Robert Mondavi Chardonnay</t>
  </si>
  <si>
    <t>FYI</t>
  </si>
  <si>
    <t>75 guests</t>
  </si>
  <si>
    <t>38 bottles of 750ml wine</t>
  </si>
  <si>
    <t>145- 12oz beers</t>
  </si>
  <si>
    <t>Option vs.cans/ bottles</t>
  </si>
  <si>
    <t>1/6 keg beer</t>
  </si>
  <si>
    <t>220- 12oz beers</t>
  </si>
  <si>
    <t>110 - 12oz beers</t>
  </si>
  <si>
    <t xml:space="preserve">28 bottles of 750ml wine </t>
  </si>
  <si>
    <t>125- 12oz beers</t>
  </si>
  <si>
    <t>32 bottles of wine 750 ml</t>
  </si>
  <si>
    <t xml:space="preserve">43 bottles of 750ml wine </t>
  </si>
  <si>
    <t>49 bottles of wine 750 ml</t>
  </si>
  <si>
    <t>165 - 12oz beers</t>
  </si>
  <si>
    <t>188- 12oz beers</t>
  </si>
  <si>
    <t>48 bottles of 750ml wine</t>
  </si>
  <si>
    <t>218 - 12oz beers</t>
  </si>
  <si>
    <t xml:space="preserve">55 bottles of 750ml wine </t>
  </si>
  <si>
    <t>252- 12oz beers</t>
  </si>
  <si>
    <t>64 bottles of wine 750 ml</t>
  </si>
  <si>
    <t>290- 12oz beers</t>
  </si>
  <si>
    <t>275 - 12oz beers</t>
  </si>
  <si>
    <t xml:space="preserve">69 bottles of 750ml wine </t>
  </si>
  <si>
    <t>312- 12oz beers</t>
  </si>
  <si>
    <t>80 bottles of wine 750 ml</t>
  </si>
  <si>
    <t>360- 12oz beers</t>
  </si>
  <si>
    <t>72 bottles of 750ml wine</t>
  </si>
  <si>
    <t>324 - 12oz beers</t>
  </si>
  <si>
    <t xml:space="preserve">83 bottles of 750ml wine </t>
  </si>
  <si>
    <t>372- 12oz beers</t>
  </si>
  <si>
    <t>96 bottles of wine 750 ml</t>
  </si>
  <si>
    <t>432- 12oz beers</t>
  </si>
  <si>
    <t>*2% SC Hospitality tax is included in Charleston Cheers Bar Service Packages</t>
  </si>
  <si>
    <t>*Does not include cost of Charleston Cheers Horse Trailer Bar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</si>
</sst>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2" fontId="2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2" fontId="4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2" fontId="4" fillId="0" borderId="1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/>
    <xf numFmtId="2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0" fontId="3" fillId="0" borderId="1" xfId="0" applyFont="1" applyFill="1" applyBorder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2" fillId="0" borderId="0" xfId="0" applyNumberFormat="1" applyFont="1" applyAlignment="1">
      <alignment horizontal="left" indent="5"/>
    </xf>
    <xf numFmtId="165" fontId="2" fillId="0" borderId="0" xfId="0" applyNumberFormat="1" applyFont="1" applyAlignment="1">
      <alignment horizontal="left" indent="5"/>
    </xf>
    <xf numFmtId="0" fontId="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4" fontId="0" fillId="0" borderId="0" xfId="0" applyNumberFormat="1"/>
    <xf numFmtId="0" fontId="8" fillId="0" borderId="0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4" fillId="0" borderId="0" xfId="0" applyFont="1" applyBorder="1"/>
    <xf numFmtId="0" fontId="14" fillId="0" borderId="1" xfId="0" applyFont="1" applyBorder="1"/>
    <xf numFmtId="0" fontId="16" fillId="0" borderId="1" xfId="0" applyFont="1" applyBorder="1"/>
    <xf numFmtId="2" fontId="15" fillId="0" borderId="0" xfId="0" applyNumberFormat="1" applyFont="1" applyBorder="1" applyAlignment="1">
      <alignment horizontal="center"/>
    </xf>
    <xf numFmtId="0" fontId="12" fillId="0" borderId="0" xfId="0" applyFont="1"/>
    <xf numFmtId="0" fontId="14" fillId="0" borderId="2" xfId="0" applyFont="1" applyBorder="1"/>
    <xf numFmtId="0" fontId="16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0" borderId="0" xfId="0" applyFont="1" applyBorder="1"/>
    <xf numFmtId="0" fontId="14" fillId="0" borderId="0" xfId="0" applyFont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0" xfId="0" applyFont="1" applyBorder="1"/>
    <xf numFmtId="2" fontId="15" fillId="0" borderId="0" xfId="1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4" fillId="0" borderId="1" xfId="0" applyFont="1" applyBorder="1"/>
    <xf numFmtId="0" fontId="18" fillId="0" borderId="0" xfId="0" applyFont="1"/>
    <xf numFmtId="164" fontId="3" fillId="0" borderId="0" xfId="1" applyNumberFormat="1" applyFont="1" applyBorder="1" applyAlignment="1">
      <alignment horizontal="center"/>
    </xf>
    <xf numFmtId="164" fontId="14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3" fillId="0" borderId="3" xfId="0" applyFont="1" applyBorder="1"/>
    <xf numFmtId="0" fontId="0" fillId="0" borderId="3" xfId="0" applyBorder="1"/>
    <xf numFmtId="0" fontId="4" fillId="0" borderId="3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53340</xdr:rowOff>
    </xdr:from>
    <xdr:to>
      <xdr:col>1</xdr:col>
      <xdr:colOff>495301</xdr:colOff>
      <xdr:row>7</xdr:row>
      <xdr:rowOff>160020</xdr:rowOff>
    </xdr:to>
    <xdr:pic>
      <xdr:nvPicPr>
        <xdr:cNvPr id="2" name="Picture 1" descr="CHARLESTON CHEER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3340"/>
          <a:ext cx="18516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opLeftCell="A32" workbookViewId="0">
      <selection activeCell="A3" sqref="A3:J49"/>
    </sheetView>
  </sheetViews>
  <sheetFormatPr defaultRowHeight="14.4"/>
  <cols>
    <col min="1" max="1" width="13.5546875" customWidth="1"/>
    <col min="2" max="2" width="10" customWidth="1"/>
    <col min="3" max="3" width="13.6640625" customWidth="1"/>
    <col min="4" max="4" width="19.44140625" customWidth="1"/>
    <col min="5" max="5" width="14.5546875" customWidth="1"/>
    <col min="6" max="6" width="13.6640625" customWidth="1"/>
    <col min="7" max="7" width="15" customWidth="1"/>
    <col min="8" max="8" width="23" customWidth="1"/>
    <col min="9" max="9" width="14.5546875" customWidth="1"/>
    <col min="11" max="11" width="11" customWidth="1"/>
  </cols>
  <sheetData>
    <row r="1" spans="1:12">
      <c r="A1" s="1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29">
        <v>44179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6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6" t="s">
        <v>15</v>
      </c>
      <c r="B4" s="8" t="s">
        <v>71</v>
      </c>
      <c r="C4" s="8" t="s">
        <v>47</v>
      </c>
      <c r="D4" s="8" t="s">
        <v>47</v>
      </c>
      <c r="E4" s="8" t="s">
        <v>56</v>
      </c>
      <c r="F4" s="8" t="s">
        <v>47</v>
      </c>
      <c r="G4" s="8" t="s">
        <v>47</v>
      </c>
      <c r="H4" s="8" t="s">
        <v>63</v>
      </c>
      <c r="I4" s="8" t="s">
        <v>83</v>
      </c>
      <c r="J4" s="8" t="s">
        <v>33</v>
      </c>
      <c r="K4" s="2"/>
      <c r="L4" s="3"/>
    </row>
    <row r="5" spans="1:12">
      <c r="A5" s="9" t="s">
        <v>62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8</v>
      </c>
      <c r="I5" s="8" t="s">
        <v>9</v>
      </c>
      <c r="J5" s="8" t="s">
        <v>34</v>
      </c>
      <c r="K5" s="2"/>
      <c r="L5" s="3"/>
    </row>
    <row r="6" spans="1:12">
      <c r="B6" s="7" t="s">
        <v>12</v>
      </c>
      <c r="C6" s="7" t="s">
        <v>21</v>
      </c>
      <c r="D6" s="7" t="s">
        <v>23</v>
      </c>
      <c r="E6" s="7" t="s">
        <v>78</v>
      </c>
      <c r="F6" s="7" t="s">
        <v>26</v>
      </c>
      <c r="G6" s="7" t="s">
        <v>28</v>
      </c>
      <c r="H6" s="7" t="s">
        <v>30</v>
      </c>
      <c r="I6" s="7" t="s">
        <v>31</v>
      </c>
      <c r="J6" s="7">
        <v>19.989999999999998</v>
      </c>
      <c r="K6" s="3"/>
      <c r="L6" s="3"/>
    </row>
    <row r="7" spans="1:12">
      <c r="A7" s="6" t="s">
        <v>44</v>
      </c>
      <c r="B7" s="7" t="s">
        <v>13</v>
      </c>
      <c r="C7" s="7" t="s">
        <v>22</v>
      </c>
      <c r="D7" s="7" t="s">
        <v>24</v>
      </c>
      <c r="E7" s="7"/>
      <c r="F7" s="7" t="s">
        <v>27</v>
      </c>
      <c r="G7" s="7" t="s">
        <v>29</v>
      </c>
      <c r="H7" s="7" t="s">
        <v>66</v>
      </c>
      <c r="I7" s="7" t="s">
        <v>32</v>
      </c>
      <c r="J7" s="7">
        <v>18.989999999999998</v>
      </c>
      <c r="K7" s="3"/>
      <c r="L7" s="3"/>
    </row>
    <row r="8" spans="1:12">
      <c r="A8" s="10"/>
      <c r="B8" s="7" t="s">
        <v>14</v>
      </c>
      <c r="C8" s="7"/>
      <c r="D8" s="7" t="s">
        <v>25</v>
      </c>
      <c r="E8" s="7"/>
      <c r="F8" s="7"/>
      <c r="G8" s="7"/>
      <c r="H8" s="7">
        <v>9.99</v>
      </c>
      <c r="I8" s="7" t="s">
        <v>65</v>
      </c>
      <c r="J8" s="7">
        <v>18.989999999999998</v>
      </c>
      <c r="K8" s="3"/>
      <c r="L8" s="3"/>
    </row>
    <row r="9" spans="1:12">
      <c r="A9" s="10"/>
      <c r="B9" s="7"/>
      <c r="C9" s="7"/>
      <c r="D9" s="7" t="s">
        <v>81</v>
      </c>
      <c r="E9" s="7"/>
      <c r="F9" s="7"/>
      <c r="G9" s="7"/>
      <c r="H9" s="7">
        <v>7.97</v>
      </c>
      <c r="I9" s="7" t="s">
        <v>88</v>
      </c>
      <c r="J9" s="7">
        <v>16.989999999999998</v>
      </c>
      <c r="K9" s="3"/>
      <c r="L9" s="3"/>
    </row>
    <row r="10" spans="1:12">
      <c r="A10" s="10"/>
      <c r="B10" s="7"/>
      <c r="C10" s="7"/>
      <c r="D10" s="7"/>
      <c r="E10" s="7"/>
      <c r="F10" s="7"/>
      <c r="G10" s="7"/>
      <c r="H10" s="7"/>
      <c r="I10" s="7"/>
      <c r="J10" s="7"/>
      <c r="K10" s="3"/>
      <c r="L10" s="3"/>
    </row>
    <row r="11" spans="1:12">
      <c r="A11" s="6" t="s">
        <v>35</v>
      </c>
      <c r="B11" s="7">
        <v>16.989999999999998</v>
      </c>
      <c r="C11" s="7">
        <v>14.99</v>
      </c>
      <c r="D11" s="7">
        <v>12.99</v>
      </c>
      <c r="E11" s="7">
        <v>22.99</v>
      </c>
      <c r="F11" s="7">
        <v>15.99</v>
      </c>
      <c r="G11" s="7">
        <v>18.989999999999998</v>
      </c>
      <c r="H11" s="11">
        <v>8.99</v>
      </c>
      <c r="I11" s="17">
        <f>SUM(74.96/96)</f>
        <v>0.78083333333333327</v>
      </c>
      <c r="J11" s="7"/>
      <c r="K11" s="3"/>
      <c r="L11" s="3"/>
    </row>
    <row r="12" spans="1:12">
      <c r="A12" s="13" t="s">
        <v>86</v>
      </c>
      <c r="B12" s="14">
        <v>33.979999999999997</v>
      </c>
      <c r="C12" s="14">
        <v>14.99</v>
      </c>
      <c r="D12" s="14">
        <v>25.98</v>
      </c>
      <c r="E12" s="14">
        <v>22.99</v>
      </c>
      <c r="F12" s="14">
        <v>15.99</v>
      </c>
      <c r="G12" s="14">
        <v>18.989999999999998</v>
      </c>
      <c r="H12" s="28">
        <f>SUM(40*H11)</f>
        <v>359.6</v>
      </c>
      <c r="I12" s="18">
        <f>SUM(I11*120)</f>
        <v>93.699999999999989</v>
      </c>
      <c r="J12" s="24">
        <f>SUM(B12:I12)</f>
        <v>586.22</v>
      </c>
      <c r="K12" s="3"/>
      <c r="L12" s="3"/>
    </row>
    <row r="13" spans="1:12">
      <c r="A13" s="13" t="s">
        <v>82</v>
      </c>
      <c r="B13" s="15">
        <v>78</v>
      </c>
      <c r="C13" s="15">
        <v>39</v>
      </c>
      <c r="D13" s="15">
        <v>39</v>
      </c>
      <c r="E13" s="15">
        <v>39</v>
      </c>
      <c r="F13" s="15">
        <v>39</v>
      </c>
      <c r="G13" s="15">
        <v>39</v>
      </c>
      <c r="H13" s="15">
        <v>220</v>
      </c>
      <c r="I13" s="33">
        <v>120</v>
      </c>
      <c r="J13" s="15">
        <f>SUM(B13:I13)</f>
        <v>613</v>
      </c>
      <c r="K13" s="3"/>
      <c r="L13" s="3"/>
    </row>
    <row r="14" spans="1:12">
      <c r="A14" s="13"/>
      <c r="B14" s="15"/>
      <c r="C14" s="15"/>
      <c r="D14" s="15"/>
      <c r="E14" s="15"/>
      <c r="F14" s="15"/>
      <c r="G14" s="15"/>
      <c r="H14" s="15"/>
      <c r="I14" s="33"/>
      <c r="J14" s="15"/>
      <c r="K14" s="3"/>
      <c r="L14" s="3"/>
    </row>
    <row r="15" spans="1:12">
      <c r="A15" s="16" t="s">
        <v>48</v>
      </c>
      <c r="B15" s="14"/>
      <c r="C15" s="14"/>
      <c r="D15" s="14"/>
      <c r="E15" s="14"/>
      <c r="F15" s="14"/>
      <c r="G15" s="14"/>
      <c r="H15" s="15" t="s">
        <v>64</v>
      </c>
      <c r="I15" s="15" t="s">
        <v>84</v>
      </c>
      <c r="J15" s="15"/>
      <c r="K15" s="3"/>
      <c r="L15" s="3"/>
    </row>
    <row r="16" spans="1:12">
      <c r="A16" s="16"/>
      <c r="B16" s="14">
        <v>33.979999999999997</v>
      </c>
      <c r="C16" s="14">
        <v>14.99</v>
      </c>
      <c r="D16" s="14">
        <v>25.98</v>
      </c>
      <c r="E16" s="14">
        <v>22.99</v>
      </c>
      <c r="F16" s="14">
        <v>15.99</v>
      </c>
      <c r="G16" s="14">
        <v>18.989999999999998</v>
      </c>
      <c r="H16" s="15"/>
      <c r="I16" s="15"/>
      <c r="J16" s="15"/>
      <c r="K16" s="3"/>
      <c r="L16" s="3"/>
    </row>
    <row r="17" spans="1:12">
      <c r="A17" s="30"/>
      <c r="B17" s="14">
        <v>33.979999999999997</v>
      </c>
      <c r="C17" s="14">
        <v>14.99</v>
      </c>
      <c r="D17" s="14">
        <v>25.98</v>
      </c>
      <c r="E17" s="14">
        <v>22.99</v>
      </c>
      <c r="F17" s="14">
        <v>15.99</v>
      </c>
      <c r="G17" s="14">
        <v>18.989999999999998</v>
      </c>
      <c r="H17" s="31">
        <f>SUM(50*H11)</f>
        <v>449.5</v>
      </c>
      <c r="I17" s="32">
        <f>SUM(I11*150)</f>
        <v>117.12499999999999</v>
      </c>
      <c r="J17" s="24">
        <f>SUM(B17:I17)</f>
        <v>699.54499999999996</v>
      </c>
      <c r="K17" s="5"/>
      <c r="L17" s="3"/>
    </row>
    <row r="18" spans="1:12">
      <c r="A18" s="16" t="s">
        <v>82</v>
      </c>
      <c r="B18" s="15">
        <v>78</v>
      </c>
      <c r="C18" s="15">
        <v>39</v>
      </c>
      <c r="D18" s="15">
        <v>39</v>
      </c>
      <c r="E18" s="15">
        <v>39</v>
      </c>
      <c r="F18" s="15">
        <v>39</v>
      </c>
      <c r="G18" s="15">
        <v>39</v>
      </c>
      <c r="H18" s="34">
        <f>SUM(50*5.5)</f>
        <v>275</v>
      </c>
      <c r="I18" s="34">
        <v>150</v>
      </c>
      <c r="J18" s="33">
        <f>SUM(B18:I18)</f>
        <v>698</v>
      </c>
      <c r="K18" s="5"/>
      <c r="L18" s="3"/>
    </row>
    <row r="19" spans="1:12">
      <c r="A19" s="36"/>
      <c r="B19" s="19"/>
      <c r="C19" s="19"/>
      <c r="D19" s="19"/>
      <c r="E19" s="19"/>
      <c r="F19" s="19"/>
      <c r="G19" s="19"/>
      <c r="H19" s="27"/>
      <c r="I19" s="20"/>
      <c r="J19" s="21"/>
      <c r="K19" s="5"/>
      <c r="L19" s="3"/>
    </row>
    <row r="20" spans="1:12">
      <c r="A20" s="6" t="s">
        <v>6</v>
      </c>
      <c r="B20" s="7"/>
      <c r="C20" s="7"/>
      <c r="D20" s="7"/>
      <c r="E20" s="7"/>
      <c r="F20" s="7"/>
      <c r="G20" s="7"/>
      <c r="H20" s="7"/>
      <c r="I20" s="7"/>
      <c r="J20" s="7"/>
      <c r="K20" s="3"/>
      <c r="L20" s="3"/>
    </row>
    <row r="21" spans="1:12">
      <c r="A21" s="6" t="s">
        <v>49</v>
      </c>
      <c r="B21" s="8" t="s">
        <v>71</v>
      </c>
      <c r="C21" s="8" t="s">
        <v>47</v>
      </c>
      <c r="D21" s="8" t="s">
        <v>47</v>
      </c>
      <c r="E21" s="8" t="s">
        <v>47</v>
      </c>
      <c r="F21" s="8" t="s">
        <v>47</v>
      </c>
      <c r="G21" s="8" t="s">
        <v>47</v>
      </c>
      <c r="H21" s="8" t="s">
        <v>63</v>
      </c>
      <c r="I21" s="8" t="s">
        <v>72</v>
      </c>
      <c r="K21" s="3"/>
      <c r="L21" s="3"/>
    </row>
    <row r="22" spans="1:12">
      <c r="A22" s="9" t="s">
        <v>61</v>
      </c>
      <c r="B22" s="7" t="s">
        <v>16</v>
      </c>
      <c r="C22" s="7" t="s">
        <v>80</v>
      </c>
      <c r="D22" s="7" t="s">
        <v>37</v>
      </c>
      <c r="E22" s="7" t="s">
        <v>39</v>
      </c>
      <c r="F22" s="7" t="s">
        <v>40</v>
      </c>
      <c r="G22" s="7" t="s">
        <v>42</v>
      </c>
      <c r="H22" s="7" t="s">
        <v>43</v>
      </c>
      <c r="I22" s="7" t="s">
        <v>45</v>
      </c>
      <c r="J22" s="7">
        <v>26.99</v>
      </c>
      <c r="K22" s="3"/>
      <c r="L22" s="3"/>
    </row>
    <row r="23" spans="1:12">
      <c r="A23" s="6" t="s">
        <v>44</v>
      </c>
      <c r="B23" s="7" t="s">
        <v>17</v>
      </c>
      <c r="C23" s="7" t="s">
        <v>36</v>
      </c>
      <c r="D23" s="7" t="s">
        <v>38</v>
      </c>
      <c r="E23" s="7"/>
      <c r="F23" s="7" t="s">
        <v>41</v>
      </c>
      <c r="G23" s="7"/>
      <c r="H23" s="7" t="s">
        <v>67</v>
      </c>
      <c r="I23" s="7" t="s">
        <v>46</v>
      </c>
      <c r="J23" s="7">
        <v>26.99</v>
      </c>
      <c r="K23" s="3"/>
      <c r="L23" s="3"/>
    </row>
    <row r="24" spans="1:12">
      <c r="B24" s="7" t="s">
        <v>18</v>
      </c>
      <c r="C24" s="7"/>
      <c r="D24" s="7"/>
      <c r="E24" s="7"/>
      <c r="F24" s="7"/>
      <c r="G24" s="7"/>
      <c r="H24" s="7">
        <v>12.97</v>
      </c>
      <c r="I24" s="7" t="s">
        <v>69</v>
      </c>
      <c r="J24" s="3">
        <v>19.989999999999998</v>
      </c>
      <c r="K24" s="3"/>
      <c r="L24" s="3"/>
    </row>
    <row r="25" spans="1:12">
      <c r="A25" s="6"/>
      <c r="B25" s="7" t="s">
        <v>79</v>
      </c>
      <c r="C25" s="7"/>
      <c r="D25" s="7"/>
      <c r="E25" s="7"/>
      <c r="F25" s="7"/>
      <c r="G25" s="7"/>
      <c r="H25" s="7">
        <v>11.99</v>
      </c>
      <c r="I25" s="7" t="s">
        <v>70</v>
      </c>
      <c r="J25" s="7">
        <v>26.99</v>
      </c>
      <c r="K25" s="3"/>
      <c r="L25" s="3"/>
    </row>
    <row r="26" spans="1:12">
      <c r="A26" s="6"/>
      <c r="B26" s="7"/>
      <c r="C26" s="7"/>
      <c r="D26" s="7" t="s">
        <v>11</v>
      </c>
      <c r="E26" s="7"/>
      <c r="F26" s="7"/>
      <c r="G26" s="7"/>
      <c r="H26" s="7"/>
      <c r="I26" s="7" t="s">
        <v>85</v>
      </c>
      <c r="J26" s="37">
        <v>26.49</v>
      </c>
      <c r="K26" s="3"/>
      <c r="L26" s="3"/>
    </row>
    <row r="27" spans="1:12">
      <c r="A27" s="6" t="s">
        <v>35</v>
      </c>
      <c r="B27" s="7">
        <v>25.99</v>
      </c>
      <c r="C27" s="7">
        <v>26.99</v>
      </c>
      <c r="D27" s="7">
        <v>21.99</v>
      </c>
      <c r="E27" s="7">
        <v>34.99</v>
      </c>
      <c r="F27" s="7">
        <v>34.99</v>
      </c>
      <c r="G27" s="7">
        <v>40.99</v>
      </c>
      <c r="H27" s="12">
        <v>12.49</v>
      </c>
      <c r="I27" s="7">
        <v>1.05</v>
      </c>
      <c r="J27" s="7"/>
      <c r="K27" s="3"/>
      <c r="L27" s="3"/>
    </row>
    <row r="28" spans="1:12">
      <c r="A28" s="6" t="s">
        <v>86</v>
      </c>
      <c r="B28" s="7">
        <v>51.98</v>
      </c>
      <c r="C28" s="7">
        <v>26.99</v>
      </c>
      <c r="D28" s="7">
        <v>21.99</v>
      </c>
      <c r="E28" s="7">
        <v>34.99</v>
      </c>
      <c r="F28" s="7">
        <v>34.99</v>
      </c>
      <c r="G28" s="7">
        <v>40.99</v>
      </c>
      <c r="H28" s="12">
        <f>SUM(40*H27)</f>
        <v>499.6</v>
      </c>
      <c r="I28" s="7">
        <f>SUM(220*I27)</f>
        <v>231</v>
      </c>
      <c r="J28" s="8">
        <f>SUM(B28:I28)</f>
        <v>942.53</v>
      </c>
      <c r="K28" s="3"/>
      <c r="L28" s="3"/>
    </row>
    <row r="29" spans="1:12">
      <c r="A29" s="6"/>
      <c r="B29" s="7"/>
      <c r="C29" s="7"/>
      <c r="D29" s="7"/>
      <c r="E29" s="7"/>
      <c r="F29" s="7"/>
      <c r="G29" s="7"/>
      <c r="H29" s="12"/>
      <c r="I29" s="7"/>
      <c r="J29" s="8"/>
      <c r="K29" s="3"/>
      <c r="L29" s="3"/>
    </row>
    <row r="30" spans="1:12">
      <c r="A30" s="13" t="s">
        <v>48</v>
      </c>
      <c r="B30" s="7"/>
      <c r="C30" s="7"/>
      <c r="D30" s="7"/>
      <c r="E30" s="7"/>
      <c r="F30" s="7"/>
      <c r="G30" s="7"/>
      <c r="H30" s="15" t="s">
        <v>64</v>
      </c>
      <c r="I30" s="8" t="s">
        <v>73</v>
      </c>
      <c r="J30" s="8"/>
      <c r="K30" s="3"/>
      <c r="L30" s="3"/>
    </row>
    <row r="31" spans="1:12">
      <c r="A31" s="30"/>
      <c r="B31" s="14">
        <v>51.98</v>
      </c>
      <c r="C31" s="14">
        <v>53.98</v>
      </c>
      <c r="D31" s="14">
        <v>21.99</v>
      </c>
      <c r="E31" s="14">
        <v>34.99</v>
      </c>
      <c r="F31" s="14">
        <v>34.99</v>
      </c>
      <c r="G31" s="14">
        <v>40.99</v>
      </c>
      <c r="H31" s="28">
        <f>SUM(50*H27)</f>
        <v>624.5</v>
      </c>
      <c r="I31" s="28">
        <f>SUM(250*I27)</f>
        <v>262.5</v>
      </c>
      <c r="J31" s="15">
        <f>SUM(B31:I31)</f>
        <v>1125.92</v>
      </c>
    </row>
    <row r="32" spans="1:12">
      <c r="A32" s="4"/>
      <c r="B32" s="19"/>
      <c r="C32" s="19"/>
      <c r="D32" s="19"/>
      <c r="E32" s="19"/>
      <c r="F32" s="19"/>
      <c r="G32" s="19"/>
      <c r="H32" s="22"/>
      <c r="I32" s="22"/>
      <c r="J32" s="23"/>
    </row>
    <row r="33" spans="1:10">
      <c r="A33" s="6" t="s">
        <v>7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>
      <c r="A34" s="6" t="s">
        <v>49</v>
      </c>
      <c r="B34" s="8" t="s">
        <v>71</v>
      </c>
      <c r="C34" s="8" t="s">
        <v>47</v>
      </c>
      <c r="D34" s="8" t="s">
        <v>47</v>
      </c>
      <c r="E34" s="8" t="s">
        <v>56</v>
      </c>
      <c r="F34" s="8" t="s">
        <v>47</v>
      </c>
      <c r="G34" s="8" t="s">
        <v>47</v>
      </c>
      <c r="H34" s="8" t="s">
        <v>63</v>
      </c>
      <c r="I34" s="8" t="s">
        <v>83</v>
      </c>
      <c r="J34" s="7"/>
    </row>
    <row r="35" spans="1:10">
      <c r="A35" s="9" t="s">
        <v>62</v>
      </c>
      <c r="B35" s="7" t="s">
        <v>19</v>
      </c>
      <c r="C35" s="7" t="s">
        <v>50</v>
      </c>
      <c r="D35" s="7" t="s">
        <v>52</v>
      </c>
      <c r="E35" s="7" t="s">
        <v>54</v>
      </c>
      <c r="F35" s="7" t="s">
        <v>58</v>
      </c>
      <c r="G35" s="7" t="s">
        <v>57</v>
      </c>
      <c r="H35" s="7" t="s">
        <v>59</v>
      </c>
      <c r="I35" s="7" t="s">
        <v>60</v>
      </c>
      <c r="J35" s="7">
        <v>27.99</v>
      </c>
    </row>
    <row r="36" spans="1:10">
      <c r="A36" s="6" t="s">
        <v>44</v>
      </c>
      <c r="B36" s="7" t="s">
        <v>20</v>
      </c>
      <c r="C36" s="7" t="s">
        <v>51</v>
      </c>
      <c r="D36" s="7" t="s">
        <v>53</v>
      </c>
      <c r="E36" s="7" t="s">
        <v>55</v>
      </c>
      <c r="F36" s="7"/>
      <c r="G36" s="7"/>
      <c r="H36" s="7" t="s">
        <v>68</v>
      </c>
      <c r="I36" s="7" t="s">
        <v>46</v>
      </c>
      <c r="J36" s="7">
        <v>26.99</v>
      </c>
    </row>
    <row r="37" spans="1:10">
      <c r="B37" s="7"/>
      <c r="C37" s="7"/>
      <c r="D37" s="7"/>
      <c r="E37" s="7"/>
      <c r="F37" s="7"/>
      <c r="G37" s="7"/>
      <c r="H37" s="7">
        <v>27.99</v>
      </c>
      <c r="I37" s="7" t="s">
        <v>69</v>
      </c>
      <c r="J37" s="3">
        <v>19.989999999999998</v>
      </c>
    </row>
    <row r="38" spans="1:10">
      <c r="A38" s="6"/>
      <c r="B38" s="7"/>
      <c r="C38" s="7"/>
      <c r="D38" s="7"/>
      <c r="E38" s="7"/>
      <c r="F38" s="7"/>
      <c r="G38" s="7"/>
      <c r="H38" s="7">
        <v>29.99</v>
      </c>
      <c r="I38" s="7" t="s">
        <v>70</v>
      </c>
      <c r="J38" s="35">
        <v>26.99</v>
      </c>
    </row>
    <row r="39" spans="1:10">
      <c r="A39" s="6"/>
      <c r="B39" s="7"/>
      <c r="C39" s="7"/>
      <c r="D39" s="7"/>
      <c r="E39" s="7"/>
      <c r="F39" s="7"/>
      <c r="G39" s="7"/>
      <c r="J39" s="7"/>
    </row>
    <row r="40" spans="1:10">
      <c r="A40" s="6" t="s">
        <v>35</v>
      </c>
      <c r="B40" s="7">
        <v>35.99</v>
      </c>
      <c r="C40" s="7">
        <v>34.99</v>
      </c>
      <c r="D40" s="7">
        <v>34.99</v>
      </c>
      <c r="E40" s="7">
        <v>37.99</v>
      </c>
      <c r="F40" s="7">
        <v>44.99</v>
      </c>
      <c r="G40" s="7">
        <v>55.99</v>
      </c>
      <c r="H40" s="12">
        <v>28.98</v>
      </c>
      <c r="I40" s="7">
        <v>1.06</v>
      </c>
      <c r="J40" s="7"/>
    </row>
    <row r="41" spans="1:10">
      <c r="A41" s="6" t="s">
        <v>86</v>
      </c>
      <c r="B41" s="7">
        <v>71.98</v>
      </c>
      <c r="C41" s="7">
        <v>34.99</v>
      </c>
      <c r="D41" s="7">
        <v>34.99</v>
      </c>
      <c r="E41" s="7">
        <v>37.99</v>
      </c>
      <c r="F41" s="7">
        <v>44.99</v>
      </c>
      <c r="G41" s="7">
        <v>55.99</v>
      </c>
      <c r="H41" s="12">
        <f>SUM(H40*40)</f>
        <v>1159.2</v>
      </c>
      <c r="I41" s="12">
        <f>SUM(120*I40)</f>
        <v>127.2</v>
      </c>
      <c r="J41" s="8">
        <f>SUM(B41:I41)</f>
        <v>1567.3300000000002</v>
      </c>
    </row>
    <row r="42" spans="1:10">
      <c r="A42" s="6"/>
      <c r="B42" s="7"/>
      <c r="C42" s="7"/>
      <c r="D42" s="7"/>
      <c r="E42" s="7"/>
      <c r="F42" s="7"/>
      <c r="G42" s="7"/>
      <c r="H42" s="12"/>
      <c r="I42" s="7"/>
      <c r="J42" s="8"/>
    </row>
    <row r="43" spans="1:10">
      <c r="A43" s="6" t="s">
        <v>48</v>
      </c>
      <c r="B43" s="7"/>
      <c r="C43" s="7"/>
      <c r="D43" s="7"/>
      <c r="E43" s="8"/>
      <c r="F43" s="7"/>
      <c r="G43" s="7"/>
      <c r="H43" s="15" t="s">
        <v>64</v>
      </c>
      <c r="I43" s="8" t="s">
        <v>84</v>
      </c>
      <c r="J43" s="8"/>
    </row>
    <row r="44" spans="1:10">
      <c r="B44" s="7">
        <v>71.98</v>
      </c>
      <c r="C44" s="7">
        <v>34.99</v>
      </c>
      <c r="D44" s="7">
        <v>34.99</v>
      </c>
      <c r="E44" s="7">
        <v>37.99</v>
      </c>
      <c r="F44" s="7">
        <v>44.99</v>
      </c>
      <c r="G44" s="7">
        <v>55.99</v>
      </c>
      <c r="H44" s="7">
        <f>SUM(H40*50)</f>
        <v>1449</v>
      </c>
      <c r="I44" s="7">
        <f>SUM(150*I40)</f>
        <v>159</v>
      </c>
      <c r="J44" s="8">
        <f>SUM(B44:I44)</f>
        <v>1888.93</v>
      </c>
    </row>
    <row r="45" spans="1:10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>
      <c r="A46" s="26" t="s">
        <v>87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>
      <c r="A47" s="26" t="s">
        <v>75</v>
      </c>
      <c r="B47" s="26"/>
      <c r="C47" s="26"/>
      <c r="D47" s="26"/>
      <c r="E47" s="26"/>
      <c r="F47" s="10"/>
      <c r="G47" s="10"/>
      <c r="H47" s="10"/>
      <c r="I47" s="10"/>
      <c r="J47" s="10"/>
    </row>
    <row r="48" spans="1:10">
      <c r="A48" s="26" t="s">
        <v>76</v>
      </c>
      <c r="B48" s="26"/>
      <c r="C48" s="26"/>
      <c r="D48" s="26"/>
      <c r="E48" s="26"/>
      <c r="F48" s="10"/>
      <c r="G48" s="10"/>
      <c r="H48" s="10"/>
      <c r="I48" s="10"/>
      <c r="J48" s="10"/>
    </row>
    <row r="49" spans="1:10">
      <c r="A49" s="26" t="s">
        <v>77</v>
      </c>
      <c r="B49" s="26"/>
      <c r="C49" s="26"/>
      <c r="D49" s="26"/>
      <c r="E49" s="26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</sheetData>
  <pageMargins left="0.2" right="0.2" top="0.25" bottom="0" header="0.3" footer="0.05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topLeftCell="A24" workbookViewId="0">
      <selection activeCell="A41" sqref="A41"/>
    </sheetView>
  </sheetViews>
  <sheetFormatPr defaultRowHeight="14.4"/>
  <cols>
    <col min="1" max="1" width="20.88671875" customWidth="1"/>
    <col min="2" max="2" width="12" customWidth="1"/>
    <col min="3" max="3" width="15.77734375" customWidth="1"/>
    <col min="4" max="4" width="15.6640625" customWidth="1"/>
    <col min="5" max="5" width="15.33203125" style="3" customWidth="1"/>
    <col min="6" max="6" width="10.77734375" customWidth="1"/>
    <col min="7" max="7" width="12.109375" customWidth="1"/>
    <col min="8" max="8" width="11.5546875" style="3" customWidth="1"/>
    <col min="9" max="9" width="14.5546875" style="3" customWidth="1"/>
    <col min="10" max="10" width="16.33203125" style="3" customWidth="1"/>
  </cols>
  <sheetData>
    <row r="1" spans="1:5">
      <c r="C1" s="52">
        <v>44195</v>
      </c>
    </row>
    <row r="7" spans="1:5">
      <c r="B7" s="25"/>
      <c r="C7" s="25"/>
      <c r="D7" s="25"/>
    </row>
    <row r="8" spans="1:5">
      <c r="B8" s="25"/>
      <c r="C8" s="25"/>
      <c r="D8" s="25"/>
    </row>
    <row r="9" spans="1:5">
      <c r="B9" s="25"/>
      <c r="C9" s="25"/>
      <c r="D9" s="25"/>
    </row>
    <row r="10" spans="1:5" ht="15.6">
      <c r="A10" s="38" t="s">
        <v>144</v>
      </c>
      <c r="C10" s="25"/>
      <c r="D10" s="25"/>
    </row>
    <row r="11" spans="1:5" ht="15.6">
      <c r="A11" s="38" t="s">
        <v>145</v>
      </c>
      <c r="C11" s="25"/>
      <c r="D11" s="25"/>
      <c r="E11" s="25"/>
    </row>
    <row r="12" spans="1:5" ht="15.6">
      <c r="A12" s="38"/>
      <c r="C12" s="25"/>
      <c r="D12" s="25"/>
      <c r="E12" s="25"/>
    </row>
    <row r="13" spans="1:5">
      <c r="A13" s="1" t="s">
        <v>142</v>
      </c>
      <c r="B13" s="49"/>
      <c r="C13" s="50"/>
      <c r="D13" s="25"/>
    </row>
    <row r="14" spans="1:5">
      <c r="A14" s="1" t="s">
        <v>90</v>
      </c>
      <c r="B14" s="49"/>
      <c r="C14" s="50"/>
      <c r="D14" s="25"/>
    </row>
    <row r="15" spans="1:5">
      <c r="A15" s="1" t="s">
        <v>89</v>
      </c>
      <c r="B15" s="51" t="s">
        <v>112</v>
      </c>
      <c r="C15" s="50"/>
      <c r="D15" s="25"/>
    </row>
    <row r="16" spans="1:5">
      <c r="C16" s="50"/>
      <c r="D16" s="25"/>
    </row>
    <row r="17" spans="1:10">
      <c r="C17" s="25"/>
      <c r="D17" s="25"/>
      <c r="H17" s="2"/>
      <c r="I17" s="2" t="s">
        <v>104</v>
      </c>
      <c r="J17" s="2" t="s">
        <v>107</v>
      </c>
    </row>
    <row r="18" spans="1:10" ht="15.6">
      <c r="A18" s="45" t="s">
        <v>91</v>
      </c>
      <c r="C18" s="2" t="s">
        <v>102</v>
      </c>
      <c r="D18" s="2" t="s">
        <v>100</v>
      </c>
      <c r="E18" s="2" t="s">
        <v>99</v>
      </c>
      <c r="F18" s="2" t="s">
        <v>95</v>
      </c>
      <c r="H18" s="2" t="s">
        <v>139</v>
      </c>
      <c r="I18" s="2" t="s">
        <v>105</v>
      </c>
      <c r="J18" s="2" t="s">
        <v>143</v>
      </c>
    </row>
    <row r="19" spans="1:10">
      <c r="A19" s="40" t="s">
        <v>92</v>
      </c>
      <c r="B19" s="41" t="s">
        <v>93</v>
      </c>
      <c r="C19" s="40" t="s">
        <v>103</v>
      </c>
      <c r="D19" s="40" t="s">
        <v>101</v>
      </c>
      <c r="E19" s="41" t="s">
        <v>98</v>
      </c>
      <c r="F19" s="40" t="s">
        <v>96</v>
      </c>
      <c r="G19" s="41" t="s">
        <v>97</v>
      </c>
      <c r="H19" s="40" t="s">
        <v>140</v>
      </c>
      <c r="I19" s="53" t="s">
        <v>106</v>
      </c>
      <c r="J19" s="53" t="s">
        <v>141</v>
      </c>
    </row>
    <row r="20" spans="1:10">
      <c r="A20" s="2">
        <v>50</v>
      </c>
      <c r="B20" s="39">
        <v>3</v>
      </c>
      <c r="C20" s="48">
        <f>SUM(A20*3)</f>
        <v>150</v>
      </c>
      <c r="D20" s="42">
        <f>SUM(E20/5)</f>
        <v>25</v>
      </c>
      <c r="E20" s="2">
        <f>SUM(A20*2.5)</f>
        <v>125</v>
      </c>
      <c r="F20" s="47">
        <f>SUM(C20+E20)</f>
        <v>275</v>
      </c>
      <c r="G20" s="43">
        <f t="shared" ref="G20:G34" si="0">SUM(F20/A20)</f>
        <v>5.5</v>
      </c>
      <c r="H20" s="3">
        <v>3</v>
      </c>
      <c r="I20" s="3">
        <f>SUM(H20*55)</f>
        <v>165</v>
      </c>
      <c r="J20" s="3">
        <v>0</v>
      </c>
    </row>
    <row r="21" spans="1:10">
      <c r="A21" s="2">
        <v>50</v>
      </c>
      <c r="B21" s="39">
        <v>4</v>
      </c>
      <c r="C21" s="48">
        <v>170</v>
      </c>
      <c r="D21" s="42">
        <v>29</v>
      </c>
      <c r="E21" s="2">
        <v>150</v>
      </c>
      <c r="F21" s="47">
        <f t="shared" ref="F21:F34" si="1">SUM(C21+E21)</f>
        <v>320</v>
      </c>
      <c r="G21" s="43">
        <f t="shared" si="0"/>
        <v>6.4</v>
      </c>
      <c r="H21" s="3">
        <v>3</v>
      </c>
      <c r="I21" s="3">
        <f t="shared" ref="I21:I34" si="2">SUM(H21*55)</f>
        <v>165</v>
      </c>
      <c r="J21" s="3">
        <v>0</v>
      </c>
    </row>
    <row r="22" spans="1:10">
      <c r="A22" s="2">
        <v>50</v>
      </c>
      <c r="B22" s="39">
        <v>5</v>
      </c>
      <c r="C22" s="48">
        <v>190</v>
      </c>
      <c r="D22" s="42">
        <v>34</v>
      </c>
      <c r="E22" s="2">
        <v>170</v>
      </c>
      <c r="F22" s="47">
        <f t="shared" si="1"/>
        <v>360</v>
      </c>
      <c r="G22" s="43">
        <f t="shared" si="0"/>
        <v>7.2</v>
      </c>
      <c r="H22" s="3">
        <v>4</v>
      </c>
      <c r="I22" s="3">
        <f t="shared" si="2"/>
        <v>220</v>
      </c>
      <c r="J22" s="3">
        <v>0</v>
      </c>
    </row>
    <row r="23" spans="1:10">
      <c r="A23" s="2"/>
      <c r="B23" s="39"/>
      <c r="C23" s="48"/>
      <c r="D23" s="42"/>
      <c r="E23" s="2"/>
      <c r="F23" s="47"/>
      <c r="G23" s="43"/>
    </row>
    <row r="24" spans="1:10">
      <c r="A24" s="2">
        <v>100</v>
      </c>
      <c r="B24" s="39">
        <v>3</v>
      </c>
      <c r="C24" s="48">
        <f t="shared" ref="C24:C32" si="3">SUM(A24*3)</f>
        <v>300</v>
      </c>
      <c r="D24" s="42">
        <f t="shared" ref="D24" si="4">SUM(E24/5)</f>
        <v>50</v>
      </c>
      <c r="E24" s="2">
        <f>SUM(A24*2.5)</f>
        <v>250</v>
      </c>
      <c r="F24" s="47">
        <f t="shared" si="1"/>
        <v>550</v>
      </c>
      <c r="G24" s="43">
        <f t="shared" si="0"/>
        <v>5.5</v>
      </c>
      <c r="H24" s="47">
        <v>6</v>
      </c>
      <c r="I24" s="3">
        <f t="shared" si="2"/>
        <v>330</v>
      </c>
      <c r="J24" s="3">
        <v>0</v>
      </c>
    </row>
    <row r="25" spans="1:10">
      <c r="A25" s="2">
        <v>100</v>
      </c>
      <c r="B25" s="39">
        <v>4</v>
      </c>
      <c r="C25" s="48">
        <v>340</v>
      </c>
      <c r="D25" s="42">
        <v>60</v>
      </c>
      <c r="E25" s="2">
        <v>300</v>
      </c>
      <c r="F25" s="47">
        <f t="shared" si="1"/>
        <v>640</v>
      </c>
      <c r="G25" s="43">
        <f t="shared" si="0"/>
        <v>6.4</v>
      </c>
      <c r="H25" s="3">
        <v>6</v>
      </c>
      <c r="I25" s="3">
        <f t="shared" si="2"/>
        <v>330</v>
      </c>
      <c r="J25" s="3">
        <v>0</v>
      </c>
    </row>
    <row r="26" spans="1:10">
      <c r="A26" s="2">
        <v>100</v>
      </c>
      <c r="B26" s="39">
        <v>5</v>
      </c>
      <c r="C26" s="48">
        <v>370</v>
      </c>
      <c r="D26" s="42">
        <v>70</v>
      </c>
      <c r="E26" s="2">
        <v>350</v>
      </c>
      <c r="F26" s="47">
        <f t="shared" si="1"/>
        <v>720</v>
      </c>
      <c r="G26" s="43">
        <f t="shared" si="0"/>
        <v>7.2</v>
      </c>
      <c r="H26" s="3">
        <v>6</v>
      </c>
      <c r="I26" s="3">
        <f t="shared" si="2"/>
        <v>330</v>
      </c>
      <c r="J26" s="3">
        <v>2</v>
      </c>
    </row>
    <row r="27" spans="1:10">
      <c r="A27" s="2"/>
      <c r="B27" s="39"/>
      <c r="C27" s="48"/>
      <c r="D27" s="42"/>
      <c r="E27" s="2"/>
      <c r="F27" s="47"/>
      <c r="G27" s="43"/>
    </row>
    <row r="28" spans="1:10">
      <c r="A28" s="2">
        <v>125</v>
      </c>
      <c r="B28" s="39">
        <v>3</v>
      </c>
      <c r="C28" s="48">
        <f t="shared" ref="C28" si="5">SUM(A28*3)</f>
        <v>375</v>
      </c>
      <c r="D28" s="55">
        <v>60</v>
      </c>
      <c r="E28" s="48">
        <v>300</v>
      </c>
      <c r="F28" s="47">
        <f t="shared" ref="F28:F29" si="6">SUM(C28+E28)</f>
        <v>675</v>
      </c>
      <c r="G28" s="43">
        <f t="shared" ref="G28:G29" si="7">SUM(F28/A28)</f>
        <v>5.4</v>
      </c>
      <c r="H28" s="47">
        <v>6</v>
      </c>
      <c r="I28" s="3">
        <f t="shared" si="2"/>
        <v>330</v>
      </c>
      <c r="J28" s="3">
        <v>2</v>
      </c>
    </row>
    <row r="29" spans="1:10">
      <c r="A29" s="2">
        <v>125</v>
      </c>
      <c r="B29" s="39">
        <v>4</v>
      </c>
      <c r="C29" s="48">
        <v>440</v>
      </c>
      <c r="D29" s="42">
        <v>72</v>
      </c>
      <c r="E29" s="2">
        <f>SUM(D29*5)</f>
        <v>360</v>
      </c>
      <c r="F29" s="47">
        <f t="shared" si="6"/>
        <v>800</v>
      </c>
      <c r="G29" s="43">
        <f t="shared" si="7"/>
        <v>6.4</v>
      </c>
      <c r="H29" s="3">
        <v>6</v>
      </c>
      <c r="I29" s="3">
        <f t="shared" si="2"/>
        <v>330</v>
      </c>
      <c r="J29" s="3">
        <v>4</v>
      </c>
    </row>
    <row r="30" spans="1:10">
      <c r="A30" s="2">
        <v>125</v>
      </c>
      <c r="B30" s="39">
        <v>5</v>
      </c>
      <c r="C30" s="48">
        <v>490</v>
      </c>
      <c r="D30" s="42">
        <v>84</v>
      </c>
      <c r="E30" s="2">
        <f>SUM(D30*5)</f>
        <v>420</v>
      </c>
      <c r="F30" s="47">
        <f t="shared" ref="F30" si="8">SUM(C30+E30)</f>
        <v>910</v>
      </c>
      <c r="G30" s="43">
        <f t="shared" ref="G30" si="9">SUM(F30/A30)</f>
        <v>7.28</v>
      </c>
      <c r="H30" s="3">
        <v>6</v>
      </c>
      <c r="I30" s="3">
        <f t="shared" si="2"/>
        <v>330</v>
      </c>
      <c r="J30" s="3">
        <v>5.5</v>
      </c>
    </row>
    <row r="31" spans="1:10">
      <c r="A31" s="2"/>
      <c r="B31" s="39"/>
      <c r="C31" s="48"/>
      <c r="D31" s="42"/>
      <c r="E31" s="2"/>
      <c r="F31" s="47"/>
      <c r="G31" s="43"/>
    </row>
    <row r="32" spans="1:10">
      <c r="A32" s="2">
        <v>150</v>
      </c>
      <c r="B32" s="39">
        <v>3</v>
      </c>
      <c r="C32" s="48">
        <f t="shared" si="3"/>
        <v>450</v>
      </c>
      <c r="D32" s="42">
        <v>75</v>
      </c>
      <c r="E32" s="2">
        <f>SUM(D32*5)</f>
        <v>375</v>
      </c>
      <c r="F32" s="47">
        <f t="shared" si="1"/>
        <v>825</v>
      </c>
      <c r="G32" s="43">
        <f t="shared" si="0"/>
        <v>5.5</v>
      </c>
      <c r="H32" s="3">
        <v>6</v>
      </c>
      <c r="I32" s="3">
        <f t="shared" si="2"/>
        <v>330</v>
      </c>
      <c r="J32" s="3">
        <v>2</v>
      </c>
    </row>
    <row r="33" spans="1:10">
      <c r="A33" s="2">
        <v>150</v>
      </c>
      <c r="B33" s="39">
        <v>4</v>
      </c>
      <c r="C33" s="48">
        <v>510</v>
      </c>
      <c r="D33" s="42">
        <v>90</v>
      </c>
      <c r="E33" s="2">
        <f t="shared" ref="E33:E34" si="10">SUM(D33*5)</f>
        <v>450</v>
      </c>
      <c r="F33" s="47">
        <f t="shared" si="1"/>
        <v>960</v>
      </c>
      <c r="G33" s="43">
        <f t="shared" si="0"/>
        <v>6.4</v>
      </c>
      <c r="H33" s="3">
        <v>6</v>
      </c>
      <c r="I33" s="3">
        <f t="shared" si="2"/>
        <v>330</v>
      </c>
      <c r="J33" s="3">
        <v>5</v>
      </c>
    </row>
    <row r="34" spans="1:10">
      <c r="A34" s="2">
        <v>150</v>
      </c>
      <c r="B34" s="39">
        <v>5</v>
      </c>
      <c r="C34" s="48">
        <v>570</v>
      </c>
      <c r="D34" s="42">
        <v>105</v>
      </c>
      <c r="E34" s="2">
        <f t="shared" si="10"/>
        <v>525</v>
      </c>
      <c r="F34" s="47">
        <f t="shared" si="1"/>
        <v>1095</v>
      </c>
      <c r="G34" s="43">
        <f t="shared" si="0"/>
        <v>7.3</v>
      </c>
      <c r="H34" s="3">
        <v>6</v>
      </c>
      <c r="I34" s="3">
        <f t="shared" si="2"/>
        <v>330</v>
      </c>
      <c r="J34" s="3">
        <v>8</v>
      </c>
    </row>
    <row r="35" spans="1:10">
      <c r="A35" s="2"/>
      <c r="B35" s="39"/>
      <c r="C35" s="46"/>
      <c r="D35" s="42"/>
      <c r="F35" s="47"/>
      <c r="G35" s="44"/>
    </row>
    <row r="36" spans="1:10">
      <c r="A36" s="1" t="s">
        <v>110</v>
      </c>
      <c r="F36" t="s">
        <v>11</v>
      </c>
    </row>
    <row r="37" spans="1:10">
      <c r="A37" s="1" t="s">
        <v>111</v>
      </c>
    </row>
    <row r="38" spans="1:10">
      <c r="A38" s="1" t="s">
        <v>108</v>
      </c>
    </row>
    <row r="39" spans="1:10">
      <c r="A39" s="1" t="s">
        <v>109</v>
      </c>
    </row>
    <row r="40" spans="1:10">
      <c r="A40" s="1" t="s">
        <v>94</v>
      </c>
      <c r="B40" s="25"/>
      <c r="C40" s="25"/>
      <c r="D40" s="25"/>
      <c r="F40" t="s">
        <v>11</v>
      </c>
    </row>
    <row r="41" spans="1:10">
      <c r="A41" s="1" t="s">
        <v>146</v>
      </c>
      <c r="B41" s="25"/>
      <c r="C41" s="25"/>
      <c r="D41" s="25"/>
    </row>
    <row r="42" spans="1:10">
      <c r="A42" s="54"/>
      <c r="B42" s="25"/>
      <c r="C42" s="25"/>
      <c r="D42" s="25"/>
    </row>
    <row r="43" spans="1:10">
      <c r="B43" s="25"/>
      <c r="C43" s="25"/>
      <c r="D43" s="25"/>
    </row>
    <row r="44" spans="1:10">
      <c r="B44" s="25"/>
      <c r="C44" s="25"/>
      <c r="D44" s="25"/>
    </row>
    <row r="45" spans="1:10">
      <c r="B45" s="25"/>
      <c r="C45" s="25"/>
      <c r="D45" s="25"/>
    </row>
    <row r="46" spans="1:10">
      <c r="B46" s="25"/>
      <c r="C46" s="25"/>
      <c r="D46" s="25"/>
    </row>
    <row r="47" spans="1:10">
      <c r="B47" s="25"/>
      <c r="C47" s="25"/>
      <c r="D47" s="25"/>
    </row>
    <row r="48" spans="1:10">
      <c r="B48" s="25"/>
      <c r="C48" s="25"/>
      <c r="D48" s="25"/>
    </row>
    <row r="49" spans="2:4">
      <c r="B49" s="25"/>
      <c r="C49" s="25"/>
      <c r="D49" s="25"/>
    </row>
    <row r="50" spans="2:4">
      <c r="B50" s="10"/>
      <c r="C50" s="10"/>
      <c r="D50" s="10"/>
    </row>
  </sheetData>
  <pageMargins left="0.7" right="0.7" top="0.75" bottom="0.7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0"/>
  <sheetViews>
    <sheetView tabSelected="1" workbookViewId="0">
      <selection activeCell="A3" sqref="A3"/>
    </sheetView>
  </sheetViews>
  <sheetFormatPr defaultRowHeight="14.4"/>
  <cols>
    <col min="1" max="1" width="22" customWidth="1"/>
    <col min="2" max="2" width="25.5546875" customWidth="1"/>
    <col min="3" max="3" width="23.77734375" customWidth="1"/>
    <col min="4" max="4" width="23.21875" customWidth="1"/>
    <col min="5" max="5" width="11.77734375" customWidth="1"/>
    <col min="6" max="6" width="19.88671875" customWidth="1"/>
  </cols>
  <sheetData>
    <row r="1" spans="1:7" ht="15.6">
      <c r="A1" s="104" t="s">
        <v>148</v>
      </c>
      <c r="C1" s="38"/>
      <c r="F1" s="108" t="s">
        <v>157</v>
      </c>
    </row>
    <row r="2" spans="1:7" ht="15.6">
      <c r="A2" s="38" t="s">
        <v>119</v>
      </c>
      <c r="E2" s="8"/>
      <c r="F2" s="109" t="s">
        <v>153</v>
      </c>
      <c r="G2" s="118"/>
    </row>
    <row r="3" spans="1:7">
      <c r="A3" s="123">
        <v>44326</v>
      </c>
      <c r="B3" s="8"/>
      <c r="E3" s="8" t="s">
        <v>130</v>
      </c>
      <c r="F3" s="107" t="s">
        <v>158</v>
      </c>
      <c r="G3" s="118"/>
    </row>
    <row r="4" spans="1:7">
      <c r="A4" s="6" t="s">
        <v>118</v>
      </c>
      <c r="B4" s="8" t="s">
        <v>149</v>
      </c>
      <c r="C4" s="2" t="s">
        <v>135</v>
      </c>
      <c r="D4" s="8" t="s">
        <v>105</v>
      </c>
      <c r="E4" s="8" t="s">
        <v>131</v>
      </c>
      <c r="F4" s="108" t="s">
        <v>136</v>
      </c>
      <c r="G4" s="118"/>
    </row>
    <row r="5" spans="1:7">
      <c r="A5" s="1" t="s">
        <v>134</v>
      </c>
      <c r="B5" s="7" t="s">
        <v>151</v>
      </c>
      <c r="C5" s="7">
        <v>6.97</v>
      </c>
      <c r="D5" s="7" t="s">
        <v>31</v>
      </c>
      <c r="E5" s="7">
        <v>19.989999999999998</v>
      </c>
      <c r="F5" s="109">
        <v>44.99</v>
      </c>
      <c r="G5" s="8"/>
    </row>
    <row r="6" spans="1:7">
      <c r="B6" s="7" t="s">
        <v>152</v>
      </c>
      <c r="C6" s="7">
        <v>4.97</v>
      </c>
      <c r="D6" s="7" t="s">
        <v>32</v>
      </c>
      <c r="E6" s="7">
        <v>18.989999999999998</v>
      </c>
      <c r="F6" s="109">
        <v>49.99</v>
      </c>
      <c r="G6" s="8"/>
    </row>
    <row r="7" spans="1:7">
      <c r="A7" s="6"/>
      <c r="B7" s="3" t="s">
        <v>138</v>
      </c>
      <c r="C7" s="3">
        <v>5.99</v>
      </c>
      <c r="D7" s="7" t="s">
        <v>65</v>
      </c>
      <c r="E7" s="7">
        <v>18.989999999999998</v>
      </c>
      <c r="F7" s="109"/>
    </row>
    <row r="8" spans="1:7">
      <c r="A8" s="10"/>
      <c r="D8" s="7" t="s">
        <v>88</v>
      </c>
      <c r="E8" s="7">
        <v>16.989999999999998</v>
      </c>
      <c r="F8" s="109"/>
    </row>
    <row r="9" spans="1:7">
      <c r="A9" s="103"/>
      <c r="B9" s="4"/>
      <c r="C9" s="4"/>
      <c r="D9" s="19" t="s">
        <v>137</v>
      </c>
      <c r="E9" s="19"/>
      <c r="F9" s="119">
        <v>43.99</v>
      </c>
    </row>
    <row r="10" spans="1:7" ht="15.6">
      <c r="A10" s="38" t="s">
        <v>115</v>
      </c>
      <c r="B10" s="8" t="s">
        <v>116</v>
      </c>
      <c r="C10" s="8" t="s">
        <v>122</v>
      </c>
      <c r="D10" s="8" t="s">
        <v>160</v>
      </c>
      <c r="E10" s="8" t="s">
        <v>123</v>
      </c>
      <c r="F10" s="8" t="s">
        <v>113</v>
      </c>
    </row>
    <row r="11" spans="1:7">
      <c r="A11" s="6" t="s">
        <v>117</v>
      </c>
      <c r="B11" s="2" t="s">
        <v>44</v>
      </c>
      <c r="C11" s="11">
        <v>5.99</v>
      </c>
      <c r="D11" s="17">
        <f>SUM(74.96/96)</f>
        <v>0.78083333333333327</v>
      </c>
      <c r="E11" s="7"/>
      <c r="F11" s="8" t="s">
        <v>114</v>
      </c>
    </row>
    <row r="12" spans="1:7">
      <c r="A12" s="13" t="s">
        <v>121</v>
      </c>
      <c r="B12" s="13"/>
      <c r="C12" s="28">
        <f>SUM(25*C11)</f>
        <v>149.75</v>
      </c>
      <c r="D12" s="18">
        <f>SUM(D11*110)</f>
        <v>85.891666666666666</v>
      </c>
      <c r="E12" s="105">
        <f>SUM(C12:D12)</f>
        <v>235.64166666666665</v>
      </c>
    </row>
    <row r="13" spans="1:7">
      <c r="A13" s="56" t="s">
        <v>82</v>
      </c>
      <c r="B13" s="56"/>
      <c r="C13" s="19">
        <v>115</v>
      </c>
      <c r="D13" s="61">
        <v>110</v>
      </c>
      <c r="E13" s="23">
        <f>SUM(C13:D13)</f>
        <v>225</v>
      </c>
      <c r="F13" s="60">
        <f>SUM(E13/50)</f>
        <v>4.5</v>
      </c>
    </row>
    <row r="14" spans="1:7">
      <c r="A14" s="13"/>
      <c r="B14" s="13"/>
      <c r="C14" s="15"/>
      <c r="D14" s="33"/>
      <c r="E14" s="15"/>
      <c r="F14" s="58"/>
    </row>
    <row r="15" spans="1:7">
      <c r="A15" s="13" t="s">
        <v>115</v>
      </c>
      <c r="B15" s="15" t="s">
        <v>48</v>
      </c>
      <c r="C15" s="15" t="s">
        <v>161</v>
      </c>
      <c r="D15" s="33" t="s">
        <v>162</v>
      </c>
      <c r="E15" s="15"/>
      <c r="F15" s="58"/>
    </row>
    <row r="16" spans="1:7">
      <c r="A16" s="13" t="s">
        <v>121</v>
      </c>
      <c r="B16" s="13"/>
      <c r="C16" s="15">
        <f>SUM(28*C11)</f>
        <v>167.72</v>
      </c>
      <c r="D16" s="59">
        <f>SUM(125*D11)</f>
        <v>97.604166666666657</v>
      </c>
      <c r="E16" s="105">
        <f>SUM(C16:D16)</f>
        <v>265.32416666666666</v>
      </c>
      <c r="F16" s="58"/>
    </row>
    <row r="17" spans="1:8">
      <c r="A17" s="56" t="s">
        <v>82</v>
      </c>
      <c r="B17" s="4"/>
      <c r="C17" s="19">
        <v>127</v>
      </c>
      <c r="D17" s="61">
        <v>125</v>
      </c>
      <c r="E17" s="60">
        <f>SUM(C17+D17)</f>
        <v>252</v>
      </c>
      <c r="F17" s="60">
        <f t="shared" ref="F17" si="0">SUM(E17/50)</f>
        <v>5.04</v>
      </c>
    </row>
    <row r="18" spans="1:8">
      <c r="A18" s="13"/>
      <c r="B18" s="13"/>
      <c r="C18" s="15"/>
      <c r="D18" s="33"/>
      <c r="E18" s="15"/>
      <c r="F18" s="57"/>
    </row>
    <row r="19" spans="1:8">
      <c r="A19" s="13" t="s">
        <v>115</v>
      </c>
      <c r="B19" s="15" t="s">
        <v>120</v>
      </c>
      <c r="C19" s="15" t="s">
        <v>163</v>
      </c>
      <c r="D19" s="33" t="s">
        <v>156</v>
      </c>
      <c r="E19" s="15"/>
      <c r="F19" s="58"/>
    </row>
    <row r="20" spans="1:8">
      <c r="A20" s="13" t="s">
        <v>121</v>
      </c>
      <c r="B20" s="13"/>
      <c r="C20" s="15">
        <f>+SUM(32*C11)</f>
        <v>191.68</v>
      </c>
      <c r="D20" s="59">
        <f>SUM(145*D11)</f>
        <v>113.22083333333332</v>
      </c>
      <c r="E20" s="105">
        <f>SUM(C20:D20)</f>
        <v>304.90083333333331</v>
      </c>
      <c r="F20" s="58"/>
    </row>
    <row r="21" spans="1:8" ht="15" thickBot="1">
      <c r="A21" s="62" t="s">
        <v>82</v>
      </c>
      <c r="B21" s="63"/>
      <c r="C21" s="64">
        <v>145</v>
      </c>
      <c r="D21" s="65">
        <v>145</v>
      </c>
      <c r="E21" s="66">
        <f>SUM(C21+D21)</f>
        <v>290</v>
      </c>
      <c r="F21" s="66">
        <f t="shared" ref="F21" si="1">SUM(E21/50)</f>
        <v>5.8</v>
      </c>
      <c r="H21" t="s">
        <v>11</v>
      </c>
    </row>
    <row r="22" spans="1:8" ht="15" thickBot="1">
      <c r="A22" s="110"/>
      <c r="B22" s="111"/>
      <c r="C22" s="112"/>
      <c r="D22" s="113"/>
      <c r="E22" s="114"/>
      <c r="F22" s="114"/>
    </row>
    <row r="23" spans="1:8" ht="16.2" thickTop="1">
      <c r="A23" s="38" t="s">
        <v>154</v>
      </c>
      <c r="B23" s="8" t="s">
        <v>116</v>
      </c>
      <c r="C23" s="8" t="s">
        <v>155</v>
      </c>
      <c r="D23" s="8" t="s">
        <v>166</v>
      </c>
      <c r="E23" s="8" t="s">
        <v>123</v>
      </c>
      <c r="F23" s="8" t="s">
        <v>113</v>
      </c>
    </row>
    <row r="24" spans="1:8">
      <c r="A24" s="6" t="s">
        <v>117</v>
      </c>
      <c r="B24" s="2" t="s">
        <v>44</v>
      </c>
      <c r="C24" s="11">
        <v>5.99</v>
      </c>
      <c r="D24" s="17">
        <f>SUM(74.96/96)</f>
        <v>0.78083333333333327</v>
      </c>
      <c r="E24" s="7"/>
      <c r="F24" s="8" t="s">
        <v>114</v>
      </c>
    </row>
    <row r="25" spans="1:8">
      <c r="A25" s="13" t="s">
        <v>121</v>
      </c>
      <c r="B25" s="13"/>
      <c r="C25" s="28">
        <f>SUM(38*C24)</f>
        <v>227.62</v>
      </c>
      <c r="D25" s="18">
        <f>SUM(D24*165)</f>
        <v>128.83749999999998</v>
      </c>
      <c r="E25" s="105">
        <f>SUM(C25:D25)</f>
        <v>356.45749999999998</v>
      </c>
    </row>
    <row r="26" spans="1:8">
      <c r="A26" s="56" t="s">
        <v>82</v>
      </c>
      <c r="B26" s="56"/>
      <c r="C26" s="19">
        <v>172</v>
      </c>
      <c r="D26" s="61">
        <v>165</v>
      </c>
      <c r="E26" s="23">
        <f>SUM(C26:D26)</f>
        <v>337</v>
      </c>
      <c r="F26" s="120">
        <f>SUM(E26/75)</f>
        <v>4.4933333333333332</v>
      </c>
    </row>
    <row r="27" spans="1:8">
      <c r="A27" s="13"/>
      <c r="B27" s="13"/>
      <c r="C27" s="15"/>
      <c r="D27" s="33"/>
      <c r="E27" s="15"/>
      <c r="F27" s="58"/>
    </row>
    <row r="28" spans="1:8">
      <c r="A28" s="13" t="s">
        <v>154</v>
      </c>
      <c r="B28" s="15" t="s">
        <v>48</v>
      </c>
      <c r="C28" s="15" t="s">
        <v>164</v>
      </c>
      <c r="D28" s="33" t="s">
        <v>167</v>
      </c>
      <c r="E28" s="15"/>
      <c r="F28" s="58"/>
    </row>
    <row r="29" spans="1:8">
      <c r="A29" s="13" t="s">
        <v>121</v>
      </c>
      <c r="B29" s="13"/>
      <c r="C29" s="15">
        <f>SUM(43*C24)</f>
        <v>257.57</v>
      </c>
      <c r="D29" s="59">
        <f>SUM(188*D24)</f>
        <v>146.79666666666665</v>
      </c>
      <c r="E29" s="105">
        <f>SUM(C29:D29)</f>
        <v>404.36666666666667</v>
      </c>
      <c r="F29" s="58"/>
    </row>
    <row r="30" spans="1:8">
      <c r="A30" s="56" t="s">
        <v>82</v>
      </c>
      <c r="B30" s="4"/>
      <c r="C30" s="19">
        <v>195</v>
      </c>
      <c r="D30" s="61">
        <v>188</v>
      </c>
      <c r="E30" s="60">
        <f>SUM(C30+D30)</f>
        <v>383</v>
      </c>
      <c r="F30" s="120">
        <f>SUM(E30/75)</f>
        <v>5.1066666666666665</v>
      </c>
    </row>
    <row r="31" spans="1:8">
      <c r="A31" s="13"/>
      <c r="B31" s="13"/>
      <c r="C31" s="15"/>
      <c r="D31" s="33"/>
      <c r="E31" s="15"/>
      <c r="F31" s="57"/>
    </row>
    <row r="32" spans="1:8">
      <c r="A32" s="13" t="s">
        <v>154</v>
      </c>
      <c r="B32" s="15" t="s">
        <v>120</v>
      </c>
      <c r="C32" s="15" t="s">
        <v>165</v>
      </c>
      <c r="D32" s="33" t="s">
        <v>159</v>
      </c>
      <c r="E32" s="15"/>
      <c r="F32" s="58"/>
    </row>
    <row r="33" spans="1:7">
      <c r="A33" s="13" t="s">
        <v>121</v>
      </c>
      <c r="B33" s="13"/>
      <c r="C33" s="15">
        <f>+SUM(49*C24)</f>
        <v>293.51</v>
      </c>
      <c r="D33" s="59">
        <f>SUM(220*D24)</f>
        <v>171.78333333333333</v>
      </c>
      <c r="E33" s="105">
        <f>SUM(C33:D33)</f>
        <v>465.29333333333329</v>
      </c>
      <c r="F33" s="58"/>
    </row>
    <row r="34" spans="1:7" ht="15" thickBot="1">
      <c r="A34" s="62" t="s">
        <v>82</v>
      </c>
      <c r="B34" s="63"/>
      <c r="C34" s="64">
        <v>222</v>
      </c>
      <c r="D34" s="65">
        <v>220</v>
      </c>
      <c r="E34" s="66">
        <f>SUM(C34+D34)</f>
        <v>442</v>
      </c>
      <c r="F34" s="121">
        <f>SUM(E34/75)</f>
        <v>5.8933333333333335</v>
      </c>
    </row>
    <row r="35" spans="1:7" ht="15" thickBot="1">
      <c r="A35" s="110"/>
      <c r="B35" s="110"/>
      <c r="C35" s="115"/>
      <c r="D35" s="116"/>
      <c r="E35" s="115"/>
      <c r="F35" s="117"/>
    </row>
    <row r="36" spans="1:7" ht="16.2" thickTop="1">
      <c r="A36" s="67" t="s">
        <v>124</v>
      </c>
      <c r="B36" s="13"/>
      <c r="C36" s="15"/>
      <c r="D36" s="33"/>
      <c r="E36" s="15"/>
      <c r="F36" s="57"/>
    </row>
    <row r="37" spans="1:7">
      <c r="A37" s="6"/>
      <c r="B37" s="8" t="s">
        <v>116</v>
      </c>
      <c r="C37" s="8" t="s">
        <v>168</v>
      </c>
      <c r="D37" s="8" t="s">
        <v>169</v>
      </c>
      <c r="E37" s="8" t="s">
        <v>123</v>
      </c>
      <c r="F37" s="8" t="s">
        <v>113</v>
      </c>
    </row>
    <row r="38" spans="1:7">
      <c r="A38" s="6" t="s">
        <v>117</v>
      </c>
      <c r="B38" s="2" t="s">
        <v>44</v>
      </c>
      <c r="C38" s="11">
        <f>SUM(C11)</f>
        <v>5.99</v>
      </c>
      <c r="D38" s="17">
        <f>SUM(74.96/96)</f>
        <v>0.78083333333333327</v>
      </c>
      <c r="E38" s="7"/>
      <c r="F38" s="8" t="s">
        <v>114</v>
      </c>
      <c r="G38" s="57"/>
    </row>
    <row r="39" spans="1:7">
      <c r="A39" s="13" t="s">
        <v>121</v>
      </c>
      <c r="B39" s="13"/>
      <c r="C39" s="28">
        <f>SUM(48*C38)</f>
        <v>287.52</v>
      </c>
      <c r="D39" s="18">
        <f>SUM(D38*218)</f>
        <v>170.22166666666666</v>
      </c>
      <c r="E39" s="105">
        <f>SUM(C39:D39)</f>
        <v>457.74166666666667</v>
      </c>
    </row>
    <row r="40" spans="1:7">
      <c r="A40" s="56" t="s">
        <v>82</v>
      </c>
      <c r="B40" s="56"/>
      <c r="C40" s="19">
        <v>218</v>
      </c>
      <c r="D40" s="61">
        <v>218</v>
      </c>
      <c r="E40" s="23">
        <f>SUM(C40:D40)</f>
        <v>436</v>
      </c>
      <c r="F40" s="120">
        <f>SUM(E40/100)</f>
        <v>4.3600000000000003</v>
      </c>
    </row>
    <row r="41" spans="1:7">
      <c r="A41" s="13"/>
      <c r="B41" s="13"/>
      <c r="C41" s="15"/>
      <c r="D41" s="33"/>
      <c r="E41" s="15"/>
      <c r="F41" s="58"/>
    </row>
    <row r="42" spans="1:7">
      <c r="A42" s="13" t="s">
        <v>61</v>
      </c>
      <c r="B42" s="15" t="s">
        <v>48</v>
      </c>
      <c r="C42" s="15" t="s">
        <v>170</v>
      </c>
      <c r="D42" s="33" t="s">
        <v>171</v>
      </c>
      <c r="E42" s="15"/>
      <c r="F42" s="58"/>
    </row>
    <row r="43" spans="1:7">
      <c r="A43" s="13" t="s">
        <v>121</v>
      </c>
      <c r="B43" s="13"/>
      <c r="C43" s="14">
        <f>SUM(55*C38)</f>
        <v>329.45</v>
      </c>
      <c r="D43" s="18">
        <f>SUM(252*D38)</f>
        <v>196.76999999999998</v>
      </c>
      <c r="E43" s="105">
        <f>SUM(C43:D43)</f>
        <v>526.22</v>
      </c>
      <c r="F43" s="58"/>
    </row>
    <row r="44" spans="1:7">
      <c r="A44" s="56" t="s">
        <v>82</v>
      </c>
      <c r="B44" s="4"/>
      <c r="C44" s="19">
        <v>250</v>
      </c>
      <c r="D44" s="61">
        <v>252</v>
      </c>
      <c r="E44" s="60">
        <f>SUM(C44+D44)</f>
        <v>502</v>
      </c>
      <c r="F44" s="60">
        <f>SUM(E44/100)</f>
        <v>5.0199999999999996</v>
      </c>
    </row>
    <row r="45" spans="1:7">
      <c r="A45" s="13" t="s">
        <v>61</v>
      </c>
      <c r="B45" s="15" t="s">
        <v>120</v>
      </c>
      <c r="C45" s="15" t="s">
        <v>172</v>
      </c>
      <c r="D45" s="33" t="s">
        <v>173</v>
      </c>
      <c r="E45" s="15"/>
      <c r="F45" s="58"/>
    </row>
    <row r="46" spans="1:7">
      <c r="A46" s="13" t="s">
        <v>121</v>
      </c>
      <c r="B46" s="13"/>
      <c r="C46" s="28">
        <f>+SUM(64*C38)</f>
        <v>383.36</v>
      </c>
      <c r="D46" s="18">
        <f>SUM(290*D38)</f>
        <v>226.44166666666663</v>
      </c>
      <c r="E46" s="105">
        <f>SUM(C46:D46)</f>
        <v>609.80166666666662</v>
      </c>
      <c r="F46" s="58"/>
    </row>
    <row r="47" spans="1:7" ht="15" thickBot="1">
      <c r="A47" s="62" t="s">
        <v>82</v>
      </c>
      <c r="B47" s="63"/>
      <c r="C47" s="64">
        <v>290</v>
      </c>
      <c r="D47" s="65">
        <v>290</v>
      </c>
      <c r="E47" s="66">
        <f>SUM(C47+D47)</f>
        <v>580</v>
      </c>
      <c r="F47" s="66">
        <f>SUM(E47/100)</f>
        <v>5.8</v>
      </c>
    </row>
    <row r="48" spans="1:7" ht="15" thickBot="1">
      <c r="A48" s="110"/>
      <c r="B48" s="111"/>
      <c r="C48" s="112"/>
      <c r="D48" s="113"/>
      <c r="E48" s="114"/>
      <c r="F48" s="114"/>
    </row>
    <row r="49" spans="1:6" ht="16.2" thickTop="1">
      <c r="A49" s="67" t="s">
        <v>125</v>
      </c>
      <c r="B49" s="13"/>
      <c r="C49" s="15"/>
      <c r="D49" s="33"/>
      <c r="E49" s="15"/>
      <c r="F49" s="57"/>
    </row>
    <row r="50" spans="1:6">
      <c r="A50" s="6"/>
      <c r="B50" s="8" t="s">
        <v>116</v>
      </c>
      <c r="C50" s="8" t="s">
        <v>127</v>
      </c>
      <c r="D50" s="8" t="s">
        <v>174</v>
      </c>
      <c r="E50" s="8" t="s">
        <v>123</v>
      </c>
      <c r="F50" s="8" t="s">
        <v>113</v>
      </c>
    </row>
    <row r="51" spans="1:6">
      <c r="A51" s="6" t="s">
        <v>117</v>
      </c>
      <c r="B51" s="2" t="s">
        <v>44</v>
      </c>
      <c r="C51" s="11">
        <v>5.99</v>
      </c>
      <c r="D51" s="17">
        <f>SUM(74.96/96)</f>
        <v>0.78083333333333327</v>
      </c>
      <c r="E51" s="7"/>
      <c r="F51" s="8" t="s">
        <v>114</v>
      </c>
    </row>
    <row r="52" spans="1:6">
      <c r="A52" s="13" t="s">
        <v>121</v>
      </c>
      <c r="B52" s="13"/>
      <c r="C52" s="28">
        <f>SUM(60*C51)</f>
        <v>359.40000000000003</v>
      </c>
      <c r="D52" s="18">
        <f>SUM(D51*275)</f>
        <v>214.72916666666666</v>
      </c>
      <c r="E52" s="105">
        <f>SUM(C52:D52)</f>
        <v>574.12916666666672</v>
      </c>
    </row>
    <row r="53" spans="1:6">
      <c r="A53" s="56" t="s">
        <v>82</v>
      </c>
      <c r="B53" s="56"/>
      <c r="C53" s="19">
        <v>273</v>
      </c>
      <c r="D53" s="61">
        <v>275</v>
      </c>
      <c r="E53" s="23">
        <f>SUM(C53:D53)</f>
        <v>548</v>
      </c>
      <c r="F53" s="95">
        <f>SUM(E53/125)</f>
        <v>4.3840000000000003</v>
      </c>
    </row>
    <row r="54" spans="1:6">
      <c r="A54" s="68"/>
      <c r="B54" s="68"/>
      <c r="C54" s="69"/>
      <c r="D54" s="70"/>
      <c r="E54" s="69"/>
      <c r="F54" s="71"/>
    </row>
    <row r="55" spans="1:6">
      <c r="A55" s="81" t="s">
        <v>126</v>
      </c>
      <c r="B55" s="75" t="s">
        <v>48</v>
      </c>
      <c r="C55" s="75" t="s">
        <v>175</v>
      </c>
      <c r="D55" s="78" t="s">
        <v>176</v>
      </c>
      <c r="E55" s="69"/>
      <c r="F55" s="71"/>
    </row>
    <row r="56" spans="1:6">
      <c r="A56" s="81" t="s">
        <v>121</v>
      </c>
      <c r="B56" s="81"/>
      <c r="C56" s="76">
        <f>SUM(69*C51)</f>
        <v>413.31</v>
      </c>
      <c r="D56" s="79">
        <f>SUM(312*D51)</f>
        <v>243.61999999999998</v>
      </c>
      <c r="E56" s="106">
        <f>SUM(C56:D56)</f>
        <v>656.93</v>
      </c>
      <c r="F56" s="71"/>
    </row>
    <row r="57" spans="1:6">
      <c r="A57" s="82" t="s">
        <v>82</v>
      </c>
      <c r="B57" s="83"/>
      <c r="C57" s="77">
        <v>313</v>
      </c>
      <c r="D57" s="80">
        <v>312</v>
      </c>
      <c r="E57" s="74">
        <f>SUM(C57+D57)</f>
        <v>625</v>
      </c>
      <c r="F57" s="74">
        <f>SUM(E57/125)</f>
        <v>5</v>
      </c>
    </row>
    <row r="58" spans="1:6">
      <c r="A58" s="68"/>
      <c r="B58" s="68"/>
      <c r="C58" s="69"/>
      <c r="D58" s="70"/>
      <c r="E58" s="69"/>
      <c r="F58" s="73"/>
    </row>
    <row r="59" spans="1:6">
      <c r="A59" s="81" t="s">
        <v>126</v>
      </c>
      <c r="B59" s="75" t="s">
        <v>120</v>
      </c>
      <c r="C59" s="75" t="s">
        <v>177</v>
      </c>
      <c r="D59" s="78" t="s">
        <v>178</v>
      </c>
      <c r="E59" s="69"/>
      <c r="F59" s="71"/>
    </row>
    <row r="60" spans="1:6">
      <c r="A60" s="81" t="s">
        <v>121</v>
      </c>
      <c r="B60" s="81"/>
      <c r="C60" s="84">
        <f>+SUM(80*C51)</f>
        <v>479.20000000000005</v>
      </c>
      <c r="D60" s="79">
        <f>SUM(360*D51)</f>
        <v>281.09999999999997</v>
      </c>
      <c r="E60" s="106">
        <f>SUM(C60:D60)</f>
        <v>760.3</v>
      </c>
      <c r="F60" s="71"/>
    </row>
    <row r="61" spans="1:6" ht="15" thickBot="1">
      <c r="A61" s="86" t="s">
        <v>82</v>
      </c>
      <c r="B61" s="87"/>
      <c r="C61" s="88">
        <v>363</v>
      </c>
      <c r="D61" s="89">
        <v>360</v>
      </c>
      <c r="E61" s="90">
        <f>SUM(C61+D61)</f>
        <v>723</v>
      </c>
      <c r="F61" s="122">
        <f>SUM(E61/125)</f>
        <v>5.7839999999999998</v>
      </c>
    </row>
    <row r="62" spans="1:6" ht="15" thickBot="1">
      <c r="A62" s="111"/>
      <c r="B62" s="110"/>
      <c r="C62" s="110"/>
      <c r="D62" s="111"/>
      <c r="E62" s="111"/>
      <c r="F62" s="112"/>
    </row>
    <row r="63" spans="1:6" ht="16.2" thickTop="1">
      <c r="A63" s="91" t="s">
        <v>128</v>
      </c>
      <c r="B63" s="68"/>
      <c r="C63" s="69"/>
      <c r="D63" s="70"/>
      <c r="E63" s="69"/>
      <c r="F63" s="73"/>
    </row>
    <row r="64" spans="1:6">
      <c r="A64" s="85"/>
      <c r="B64" s="92" t="s">
        <v>116</v>
      </c>
      <c r="C64" s="92" t="s">
        <v>179</v>
      </c>
      <c r="D64" s="92" t="s">
        <v>180</v>
      </c>
      <c r="E64" s="92" t="s">
        <v>123</v>
      </c>
      <c r="F64" s="8" t="s">
        <v>113</v>
      </c>
    </row>
    <row r="65" spans="1:6">
      <c r="A65" s="102" t="s">
        <v>117</v>
      </c>
      <c r="B65" s="101" t="s">
        <v>44</v>
      </c>
      <c r="C65" s="97">
        <f>SUM(C11)</f>
        <v>5.99</v>
      </c>
      <c r="D65" s="98">
        <f>SUM(74.96/96)</f>
        <v>0.78083333333333327</v>
      </c>
      <c r="E65" s="99"/>
      <c r="F65" s="8" t="s">
        <v>114</v>
      </c>
    </row>
    <row r="66" spans="1:6">
      <c r="A66" s="81" t="s">
        <v>121</v>
      </c>
      <c r="B66" s="81"/>
      <c r="C66" s="84">
        <f>SUM(72*C65)</f>
        <v>431.28000000000003</v>
      </c>
      <c r="D66" s="79">
        <f>SUM(D65*324)</f>
        <v>252.98999999999998</v>
      </c>
      <c r="E66" s="106">
        <f>SUM(C66:D66)</f>
        <v>684.27</v>
      </c>
      <c r="F66" s="93"/>
    </row>
    <row r="67" spans="1:6">
      <c r="A67" s="82" t="s">
        <v>82</v>
      </c>
      <c r="B67" s="82"/>
      <c r="C67" s="77">
        <v>327</v>
      </c>
      <c r="D67" s="80">
        <v>324</v>
      </c>
      <c r="E67" s="100">
        <f>SUM(C67:D67)</f>
        <v>651</v>
      </c>
      <c r="F67" s="95">
        <f>SUM(E67/150)</f>
        <v>4.34</v>
      </c>
    </row>
    <row r="68" spans="1:6">
      <c r="A68" s="81"/>
      <c r="B68" s="81"/>
      <c r="C68" s="69"/>
      <c r="D68" s="70"/>
      <c r="E68" s="75"/>
      <c r="F68" s="94"/>
    </row>
    <row r="69" spans="1:6">
      <c r="A69" s="81" t="s">
        <v>129</v>
      </c>
      <c r="B69" s="75" t="s">
        <v>48</v>
      </c>
      <c r="C69" s="75" t="s">
        <v>181</v>
      </c>
      <c r="D69" s="78" t="s">
        <v>182</v>
      </c>
      <c r="E69" s="75"/>
      <c r="F69" s="94"/>
    </row>
    <row r="70" spans="1:6">
      <c r="A70" s="81" t="s">
        <v>121</v>
      </c>
      <c r="B70" s="81"/>
      <c r="C70" s="84">
        <f>SUM(83*C65)</f>
        <v>497.17</v>
      </c>
      <c r="D70" s="79">
        <f>SUM(372*D65)</f>
        <v>290.46999999999997</v>
      </c>
      <c r="E70" s="106">
        <f>SUM(C70:D70)</f>
        <v>787.64</v>
      </c>
      <c r="F70" s="94"/>
    </row>
    <row r="71" spans="1:6">
      <c r="A71" s="82" t="s">
        <v>82</v>
      </c>
      <c r="B71" s="83"/>
      <c r="C71" s="77">
        <v>372</v>
      </c>
      <c r="D71" s="80">
        <v>372</v>
      </c>
      <c r="E71" s="74">
        <f>SUM(C71+D71)</f>
        <v>744</v>
      </c>
      <c r="F71" s="95">
        <f>SUM(E71/150)</f>
        <v>4.96</v>
      </c>
    </row>
    <row r="72" spans="1:6">
      <c r="A72" s="81"/>
      <c r="B72" s="81"/>
      <c r="C72" s="69"/>
      <c r="D72" s="70"/>
      <c r="E72" s="69"/>
      <c r="F72" s="96"/>
    </row>
    <row r="73" spans="1:6">
      <c r="A73" s="81" t="s">
        <v>129</v>
      </c>
      <c r="B73" s="75" t="s">
        <v>120</v>
      </c>
      <c r="C73" s="75" t="s">
        <v>183</v>
      </c>
      <c r="D73" s="78" t="s">
        <v>184</v>
      </c>
      <c r="E73" s="69"/>
      <c r="F73" s="94"/>
    </row>
    <row r="74" spans="1:6">
      <c r="A74" s="81" t="s">
        <v>121</v>
      </c>
      <c r="B74" s="68"/>
      <c r="C74" s="84">
        <f>+SUM(96*C65)</f>
        <v>575.04</v>
      </c>
      <c r="D74" s="79">
        <f>SUM(432*D65)</f>
        <v>337.32</v>
      </c>
      <c r="E74" s="106">
        <f>SUM(C74:D74)</f>
        <v>912.3599999999999</v>
      </c>
      <c r="F74" s="94"/>
    </row>
    <row r="75" spans="1:6">
      <c r="A75" s="82" t="s">
        <v>82</v>
      </c>
      <c r="B75" s="72"/>
      <c r="C75" s="77">
        <v>436</v>
      </c>
      <c r="D75" s="80">
        <v>432</v>
      </c>
      <c r="E75" s="74">
        <f>SUM(C75+D75)</f>
        <v>868</v>
      </c>
      <c r="F75" s="95">
        <f>SUM(E75/150)</f>
        <v>5.7866666666666671</v>
      </c>
    </row>
    <row r="76" spans="1:6">
      <c r="A76" s="26" t="s">
        <v>132</v>
      </c>
      <c r="B76" s="26"/>
      <c r="C76" s="10"/>
      <c r="D76" s="10"/>
      <c r="E76" s="10"/>
    </row>
    <row r="77" spans="1:6">
      <c r="A77" s="9" t="s">
        <v>150</v>
      </c>
      <c r="B77" s="26" t="s">
        <v>185</v>
      </c>
      <c r="C77" s="10"/>
      <c r="D77" s="10"/>
      <c r="E77" s="10"/>
    </row>
    <row r="78" spans="1:6">
      <c r="A78" s="26" t="s">
        <v>133</v>
      </c>
      <c r="B78" s="26"/>
      <c r="C78" s="10"/>
      <c r="D78" s="10"/>
      <c r="E78" s="10"/>
    </row>
    <row r="79" spans="1:6">
      <c r="A79" s="26" t="s">
        <v>147</v>
      </c>
      <c r="B79" s="26"/>
      <c r="C79" s="10"/>
      <c r="D79" s="10"/>
      <c r="E79" s="10"/>
    </row>
    <row r="80" spans="1:6">
      <c r="A80" s="26" t="s">
        <v>186</v>
      </c>
      <c r="B80" s="26"/>
      <c r="C80" s="10"/>
      <c r="D80" s="10"/>
      <c r="E80" s="10"/>
    </row>
  </sheetData>
  <pageMargins left="0.2" right="0.2" top="0.25" bottom="0.25" header="0.0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Davidauer</dc:creator>
  <cp:lastModifiedBy>Davidauer</cp:lastModifiedBy>
  <cp:lastPrinted>2021-04-20T16:12:06Z</cp:lastPrinted>
  <dcterms:created xsi:type="dcterms:W3CDTF">2020-12-12T16:04:07Z</dcterms:created>
  <dcterms:modified xsi:type="dcterms:W3CDTF">2021-05-11T00:17:33Z</dcterms:modified>
</cp:coreProperties>
</file>